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95" activeTab="0"/>
  </bookViews>
  <sheets>
    <sheet name="Hotels" sheetId="1" r:id="rId1"/>
  </sheets>
  <externalReferences>
    <externalReference r:id="rId4"/>
  </externalReferences>
  <definedNames>
    <definedName name="_xlnm.Print_Titles" localSheetId="0">'Hotels'!$2:$4</definedName>
  </definedNames>
  <calcPr fullCalcOnLoad="1"/>
</workbook>
</file>

<file path=xl/sharedStrings.xml><?xml version="1.0" encoding="utf-8"?>
<sst xmlns="http://schemas.openxmlformats.org/spreadsheetml/2006/main" count="424" uniqueCount="118">
  <si>
    <t>HOTEL</t>
  </si>
  <si>
    <t>ROOM TYPE</t>
  </si>
  <si>
    <t>VALIDITY</t>
  </si>
  <si>
    <t xml:space="preserve">ROOM RATE </t>
  </si>
  <si>
    <t>CHILD (2-12)</t>
  </si>
  <si>
    <t xml:space="preserve">MEALS </t>
  </si>
  <si>
    <t>FROM</t>
  </si>
  <si>
    <t>TO</t>
  </si>
  <si>
    <t>SGL</t>
  </si>
  <si>
    <t>DBL</t>
  </si>
  <si>
    <t>EXB</t>
  </si>
  <si>
    <t>ABF</t>
  </si>
  <si>
    <t>LCH</t>
  </si>
  <si>
    <t>DNR</t>
  </si>
  <si>
    <t>GOOD PRICE</t>
  </si>
  <si>
    <t>SUPER DELUXE CATEGORY</t>
  </si>
  <si>
    <t>FOUR SEASON</t>
  </si>
  <si>
    <t>DLX</t>
  </si>
  <si>
    <t>FOC</t>
  </si>
  <si>
    <t>INC</t>
  </si>
  <si>
    <t>PRE</t>
  </si>
  <si>
    <t>EXEC</t>
  </si>
  <si>
    <t>GRAND HYATT</t>
  </si>
  <si>
    <t>RQ</t>
  </si>
  <si>
    <t xml:space="preserve">GRD </t>
  </si>
  <si>
    <t>RAFFLES ( Typical Suit)</t>
  </si>
  <si>
    <t>COURT</t>
  </si>
  <si>
    <t>NA</t>
  </si>
  <si>
    <t>PALM</t>
  </si>
  <si>
    <t>RITZ CARLTON</t>
  </si>
  <si>
    <t>K/DLX</t>
  </si>
  <si>
    <t>M/DLX</t>
  </si>
  <si>
    <t>PREM</t>
  </si>
  <si>
    <t>SHANGRI-LA</t>
  </si>
  <si>
    <t>TOWER</t>
  </si>
  <si>
    <t>GARD</t>
  </si>
  <si>
    <t>VALLEY</t>
  </si>
  <si>
    <t>FULLERTON</t>
  </si>
  <si>
    <t>QUAY</t>
  </si>
  <si>
    <t>HERITAGE</t>
  </si>
  <si>
    <t xml:space="preserve"> DELUXE CATEGORY</t>
  </si>
  <si>
    <t>CONRAD CENTENNIAL</t>
  </si>
  <si>
    <t>GOODWOOD PARK</t>
  </si>
  <si>
    <t>HILTON</t>
  </si>
  <si>
    <t>HOLIDAY INN PARKVIEW</t>
  </si>
  <si>
    <t>INTER-CONTINENTAL</t>
  </si>
  <si>
    <t>SHOP/H</t>
  </si>
  <si>
    <t>LE MERIDIEN SINGAPORE</t>
  </si>
  <si>
    <t>MARINA MANDARIN</t>
  </si>
  <si>
    <t>MERITUS MANDARIN</t>
  </si>
  <si>
    <t>SOUTH</t>
  </si>
  <si>
    <t>MAIN</t>
  </si>
  <si>
    <t>MARRIOT</t>
  </si>
  <si>
    <t>MERITUS NEGARA</t>
  </si>
  <si>
    <t>NOVOTEL CLARKE QUAY</t>
  </si>
  <si>
    <t>E.STAND</t>
  </si>
  <si>
    <t>SUP</t>
  </si>
  <si>
    <t>ORCHARD HOTEL</t>
  </si>
  <si>
    <t>ORCHARD</t>
  </si>
  <si>
    <t>CLAYMORE</t>
  </si>
  <si>
    <t>PAN PACIFIC</t>
  </si>
  <si>
    <t>BUSINESS</t>
  </si>
  <si>
    <t>BALCONY</t>
  </si>
  <si>
    <t>SHANGRI-LA RASA SENTOSA</t>
  </si>
  <si>
    <t>HILL/V</t>
  </si>
  <si>
    <t>SEA/V</t>
  </si>
  <si>
    <t>REGENT</t>
  </si>
  <si>
    <t>RAFFLES THE PLAZA</t>
  </si>
  <si>
    <t>SHERATON TOWER</t>
  </si>
  <si>
    <t>SWISSOTEL THE STAMFORD</t>
  </si>
  <si>
    <t>HABOUR</t>
  </si>
  <si>
    <t>THE SENTOSA RESORT &amp; SPA</t>
  </si>
  <si>
    <t>SUPERIOR CATEGORY</t>
  </si>
  <si>
    <t>AMARA</t>
  </si>
  <si>
    <t>CARLTON</t>
  </si>
  <si>
    <t>CROWN AT ORCHARD</t>
  </si>
  <si>
    <t>CHANGI VILLAGE</t>
  </si>
  <si>
    <t>COPTHORNE KING'S</t>
  </si>
  <si>
    <t>ELIZABETH</t>
  </si>
  <si>
    <t>FURAMA CITY CENTRE</t>
  </si>
  <si>
    <t>FURAMA RIVERFRONT</t>
  </si>
  <si>
    <t>GRAND COPTHORNE WATERFRONT</t>
  </si>
  <si>
    <t>GRAND PLAZA PARKROYAL</t>
  </si>
  <si>
    <t>GALLERY HOTEL</t>
  </si>
  <si>
    <t>GLAZZ</t>
  </si>
  <si>
    <t>BOOKEND</t>
  </si>
  <si>
    <t>GRAND MERCURE ROXY</t>
  </si>
  <si>
    <t>ORCHARD PARADE</t>
  </si>
  <si>
    <t xml:space="preserve">PHOENIX </t>
  </si>
  <si>
    <t>PLAZA PAKROYAL</t>
  </si>
  <si>
    <t>RENDEZVOUS</t>
  </si>
  <si>
    <t>SWISSOTEL MERCHANT COURT</t>
  </si>
  <si>
    <t>TRADERS</t>
  </si>
  <si>
    <t>YORK</t>
  </si>
  <si>
    <t>FIRST CLASS</t>
  </si>
  <si>
    <t>ALLSON</t>
  </si>
  <si>
    <t>ALBERT COURT</t>
  </si>
  <si>
    <t>BERJAYA DUXTON</t>
  </si>
  <si>
    <t>STUDIO</t>
  </si>
  <si>
    <t>CITY BAYVIEW</t>
  </si>
  <si>
    <t>HOLIDAY INN ATRIUM</t>
  </si>
  <si>
    <t>COPTHORNE ORCHID</t>
  </si>
  <si>
    <t>EXCELSIOR PENINSULA</t>
  </si>
  <si>
    <t>GARDEN</t>
  </si>
  <si>
    <t>GRAND CENTRAL</t>
  </si>
  <si>
    <t>GOLDEN LANDMARK</t>
  </si>
  <si>
    <t>NEW PARK HOTEL</t>
  </si>
  <si>
    <t>MIRAMAR</t>
  </si>
  <si>
    <t>RIVERVIEW</t>
  </si>
  <si>
    <t>QUALITY</t>
  </si>
  <si>
    <t>BUDGET HOTEL</t>
  </si>
  <si>
    <t>BROADWAY</t>
  </si>
  <si>
    <t>STD</t>
  </si>
  <si>
    <t>CLAREMONT</t>
  </si>
  <si>
    <t>OXFORD</t>
  </si>
  <si>
    <t>ROYAL PEACOCK</t>
  </si>
  <si>
    <t>YMCA</t>
  </si>
  <si>
    <r>
      <t xml:space="preserve">ATLANTA TOUR SERVICE                                                                              Москва, ул. Верхняя Красносельская д.11А стр.3                                  Тел: 225-18-48 </t>
    </r>
    <r>
      <rPr>
        <b/>
        <i/>
        <u val="single"/>
        <sz val="14"/>
        <color indexed="10"/>
        <rFont val="Arial"/>
        <family val="2"/>
      </rPr>
      <t>atlantatour@mail.ru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</si>
</sst>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h:mm:ss\ AM/PM"/>
    <numFmt numFmtId="175" formatCode="mmm\-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;[Red]#,##0.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FC19]d\ mmmm\ yyyy\ &quot;г.&quot;"/>
    <numFmt numFmtId="188" formatCode="dd/mm/yy;@"/>
    <numFmt numFmtId="189" formatCode="mmm/yyyy"/>
    <numFmt numFmtId="190" formatCode="[$-419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&quot;$&quot;* #,##0.000_);_(&quot;$&quot;* \(#,##0.000\);_(&quot;$&quot;* &quot;-&quot;??_);_(@_)"/>
    <numFmt numFmtId="196" formatCode="\4\-\9"/>
    <numFmt numFmtId="197" formatCode="\10\-\1\4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b/>
      <u val="single"/>
      <sz val="10"/>
      <color indexed="6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u val="single"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4" fillId="3" borderId="14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/>
    </xf>
    <xf numFmtId="188" fontId="10" fillId="4" borderId="15" xfId="0" applyNumberFormat="1" applyFont="1" applyFill="1" applyBorder="1" applyAlignment="1">
      <alignment horizontal="center"/>
    </xf>
    <xf numFmtId="2" fontId="10" fillId="4" borderId="16" xfId="0" applyNumberFormat="1" applyFont="1" applyFill="1" applyBorder="1" applyAlignment="1">
      <alignment horizontal="right"/>
    </xf>
    <xf numFmtId="0" fontId="4" fillId="3" borderId="17" xfId="0" applyFont="1" applyFill="1" applyBorder="1" applyAlignment="1">
      <alignment/>
    </xf>
    <xf numFmtId="0" fontId="9" fillId="0" borderId="18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/>
    </xf>
    <xf numFmtId="188" fontId="10" fillId="4" borderId="18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88" fontId="10" fillId="0" borderId="18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9" fillId="0" borderId="15" xfId="0" applyFont="1" applyBorder="1" applyAlignment="1">
      <alignment vertical="center"/>
    </xf>
    <xf numFmtId="0" fontId="10" fillId="0" borderId="15" xfId="0" applyFont="1" applyFill="1" applyBorder="1" applyAlignment="1">
      <alignment horizontal="center"/>
    </xf>
    <xf numFmtId="188" fontId="10" fillId="0" borderId="15" xfId="0" applyNumberFormat="1" applyFont="1" applyFill="1" applyBorder="1" applyAlignment="1">
      <alignment horizontal="center"/>
    </xf>
    <xf numFmtId="2" fontId="10" fillId="5" borderId="1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9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/>
    </xf>
    <xf numFmtId="188" fontId="10" fillId="0" borderId="16" xfId="0" applyNumberFormat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10" fillId="4" borderId="21" xfId="0" applyFont="1" applyFill="1" applyBorder="1" applyAlignment="1">
      <alignment horizontal="center"/>
    </xf>
    <xf numFmtId="188" fontId="10" fillId="4" borderId="21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10" fillId="4" borderId="16" xfId="0" applyFont="1" applyFill="1" applyBorder="1" applyAlignment="1">
      <alignment horizontal="center"/>
    </xf>
    <xf numFmtId="188" fontId="10" fillId="4" borderId="16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4" borderId="25" xfId="0" applyFont="1" applyFill="1" applyBorder="1" applyAlignment="1">
      <alignment horizontal="center"/>
    </xf>
    <xf numFmtId="188" fontId="10" fillId="4" borderId="25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1" fontId="4" fillId="0" borderId="0" xfId="0" applyNumberFormat="1" applyFont="1" applyAlignment="1">
      <alignment/>
    </xf>
    <xf numFmtId="0" fontId="11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38100</xdr:rowOff>
    </xdr:from>
    <xdr:to>
      <xdr:col>1</xdr:col>
      <xdr:colOff>1438275</xdr:colOff>
      <xdr:row>0</xdr:row>
      <xdr:rowOff>1057275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810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Confidential%20Tariff%20October%202006%20-%20March%202007%20EA%20(Sing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 (SINGAPUR)"/>
      <sheetName val="Dollar Rate"/>
      <sheetName val="Bintan Island Hotels"/>
      <sheetName val="Excursions"/>
      <sheetName val="Авиаперелеты"/>
    </sheetNames>
    <sheetDataSet>
      <sheetData sheetId="1">
        <row r="26">
          <cell r="J26">
            <v>1.31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110" zoomScaleNormal="110" workbookViewId="0" topLeftCell="A1">
      <pane ySplit="4" topLeftCell="BM5" activePane="bottomLeft" state="frozen"/>
      <selection pane="topLeft" activeCell="A1" sqref="A1"/>
      <selection pane="bottomLeft" activeCell="I41" sqref="I41"/>
    </sheetView>
  </sheetViews>
  <sheetFormatPr defaultColWidth="9.140625" defaultRowHeight="12.75"/>
  <cols>
    <col min="1" max="1" width="7.7109375" style="8" customWidth="1"/>
    <col min="2" max="2" width="26.00390625" style="8" customWidth="1"/>
    <col min="3" max="3" width="8.28125" style="8" customWidth="1"/>
    <col min="4" max="5" width="9.00390625" style="8" customWidth="1"/>
    <col min="6" max="8" width="8.28125" style="8" customWidth="1"/>
    <col min="9" max="9" width="8.421875" style="8" customWidth="1"/>
    <col min="10" max="13" width="8.28125" style="8" customWidth="1"/>
    <col min="14" max="14" width="5.8515625" style="8" hidden="1" customWidth="1"/>
    <col min="15" max="16384" width="9.140625" style="8" customWidth="1"/>
  </cols>
  <sheetData>
    <row r="1" spans="3:13" ht="86.25" customHeight="1" thickBot="1">
      <c r="C1" s="64" t="s">
        <v>117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25" thickBot="1" thickTop="1">
      <c r="A2" s="1"/>
      <c r="B2" s="2" t="s">
        <v>0</v>
      </c>
      <c r="C2" s="3" t="s">
        <v>1</v>
      </c>
      <c r="D2" s="2" t="s">
        <v>2</v>
      </c>
      <c r="E2" s="4"/>
      <c r="F2" s="2" t="s">
        <v>3</v>
      </c>
      <c r="G2" s="4"/>
      <c r="H2" s="4"/>
      <c r="I2" s="5" t="s">
        <v>4</v>
      </c>
      <c r="J2" s="6"/>
      <c r="K2" s="5" t="s">
        <v>5</v>
      </c>
      <c r="L2" s="7"/>
      <c r="M2" s="6"/>
    </row>
    <row r="3" spans="1:13" ht="14.25" thickBot="1" thickTop="1">
      <c r="A3" s="9"/>
      <c r="B3" s="4"/>
      <c r="C3" s="10"/>
      <c r="D3" s="4"/>
      <c r="E3" s="4"/>
      <c r="F3" s="4"/>
      <c r="G3" s="4"/>
      <c r="H3" s="4"/>
      <c r="I3" s="11"/>
      <c r="J3" s="12"/>
      <c r="K3" s="11"/>
      <c r="L3" s="13"/>
      <c r="M3" s="12"/>
    </row>
    <row r="4" spans="1:13" ht="14.25" thickBot="1" thickTop="1">
      <c r="A4" s="14"/>
      <c r="B4" s="4"/>
      <c r="C4" s="15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10</v>
      </c>
      <c r="J4" s="16" t="s">
        <v>11</v>
      </c>
      <c r="K4" s="16" t="s">
        <v>11</v>
      </c>
      <c r="L4" s="16" t="s">
        <v>12</v>
      </c>
      <c r="M4" s="16" t="s">
        <v>13</v>
      </c>
    </row>
    <row r="5" spans="1:2" s="19" customFormat="1" ht="14.25" thickBot="1" thickTop="1">
      <c r="A5" s="17"/>
      <c r="B5" s="18"/>
    </row>
    <row r="6" spans="1:2" s="19" customFormat="1" ht="14.25" thickBot="1" thickTop="1">
      <c r="A6" s="20"/>
      <c r="B6" s="21" t="s">
        <v>14</v>
      </c>
    </row>
    <row r="7" spans="1:2" s="19" customFormat="1" ht="14.25" thickBot="1" thickTop="1">
      <c r="A7" s="17"/>
      <c r="B7" s="18"/>
    </row>
    <row r="8" spans="1:2" ht="13.5" thickTop="1">
      <c r="A8" s="22" t="s">
        <v>15</v>
      </c>
      <c r="B8" s="23"/>
    </row>
    <row r="9" spans="1:13" ht="12.75">
      <c r="A9" s="24"/>
      <c r="B9" s="25" t="s">
        <v>16</v>
      </c>
      <c r="C9" s="26" t="s">
        <v>17</v>
      </c>
      <c r="D9" s="27">
        <v>38991</v>
      </c>
      <c r="E9" s="27">
        <v>39172</v>
      </c>
      <c r="F9" s="28">
        <f>CEILING(378/'[1]Dollar Rate'!$J$26,1)</f>
        <v>289</v>
      </c>
      <c r="G9" s="28">
        <f>CEILING(378/'[1]Dollar Rate'!$J$26,1)</f>
        <v>289</v>
      </c>
      <c r="H9" s="28">
        <f>CEILING(119/'[1]Dollar Rate'!$J$26,1)</f>
        <v>91</v>
      </c>
      <c r="I9" s="28" t="s">
        <v>18</v>
      </c>
      <c r="J9" s="28">
        <f>CEILING(35/'[1]Dollar Rate'!$J$26,1)</f>
        <v>27</v>
      </c>
      <c r="K9" s="28" t="s">
        <v>19</v>
      </c>
      <c r="L9" s="28">
        <f>CEILING(59/'[1]Dollar Rate'!$J$26,1)</f>
        <v>46</v>
      </c>
      <c r="M9" s="28">
        <f>CEILING(59/'[1]Dollar Rate'!$J$26,1)</f>
        <v>46</v>
      </c>
    </row>
    <row r="10" spans="1:13" ht="12.75">
      <c r="A10" s="29"/>
      <c r="B10" s="30"/>
      <c r="C10" s="31" t="s">
        <v>20</v>
      </c>
      <c r="D10" s="32">
        <v>38991</v>
      </c>
      <c r="E10" s="32">
        <v>39172</v>
      </c>
      <c r="F10" s="28">
        <f>CEILING(438/'[1]Dollar Rate'!$J$26,1)</f>
        <v>335</v>
      </c>
      <c r="G10" s="28">
        <f>CEILING(438/'[1]Dollar Rate'!$J$26,1)</f>
        <v>335</v>
      </c>
      <c r="H10" s="28">
        <f>CEILING(119/'[1]Dollar Rate'!$J$26,1)</f>
        <v>91</v>
      </c>
      <c r="I10" s="28" t="s">
        <v>18</v>
      </c>
      <c r="J10" s="28">
        <f>CEILING(35/'[1]Dollar Rate'!$J$26,1)</f>
        <v>27</v>
      </c>
      <c r="K10" s="28" t="s">
        <v>19</v>
      </c>
      <c r="L10" s="28">
        <f>CEILING(59/'[1]Dollar Rate'!$J$26,1)</f>
        <v>46</v>
      </c>
      <c r="M10" s="28">
        <f>CEILING(59/'[1]Dollar Rate'!$J$26,1)</f>
        <v>46</v>
      </c>
    </row>
    <row r="11" spans="1:13" ht="12.75">
      <c r="A11" s="33"/>
      <c r="B11" s="34"/>
      <c r="C11" s="35" t="s">
        <v>21</v>
      </c>
      <c r="D11" s="36">
        <v>38991</v>
      </c>
      <c r="E11" s="36">
        <v>39172</v>
      </c>
      <c r="F11" s="37">
        <f>CEILING(491/'[1]Dollar Rate'!$J$26,1)</f>
        <v>375</v>
      </c>
      <c r="G11" s="37">
        <f>CEILING(491/'[1]Dollar Rate'!$J$26,1)</f>
        <v>375</v>
      </c>
      <c r="H11" s="37">
        <f>CEILING(119/'[1]Dollar Rate'!$J$26,1)</f>
        <v>91</v>
      </c>
      <c r="I11" s="37" t="s">
        <v>18</v>
      </c>
      <c r="J11" s="37">
        <f>CEILING(35/'[1]Dollar Rate'!$J$26,1)</f>
        <v>27</v>
      </c>
      <c r="K11" s="37" t="s">
        <v>19</v>
      </c>
      <c r="L11" s="37">
        <f>CEILING(59/'[1]Dollar Rate'!$J$26,1)</f>
        <v>46</v>
      </c>
      <c r="M11" s="37">
        <f>CEILING(59/'[1]Dollar Rate'!$J$26,1)</f>
        <v>46</v>
      </c>
    </row>
    <row r="12" spans="1:14" ht="12.75">
      <c r="A12" s="38"/>
      <c r="B12" s="39" t="s">
        <v>22</v>
      </c>
      <c r="C12" s="40" t="s">
        <v>17</v>
      </c>
      <c r="D12" s="41">
        <v>38991</v>
      </c>
      <c r="E12" s="41">
        <v>39172</v>
      </c>
      <c r="F12" s="37">
        <f>CEILING(238/'[1]Dollar Rate'!$J$26,1)</f>
        <v>182</v>
      </c>
      <c r="G12" s="37">
        <f>CEILING(318/'[1]Dollar Rate'!$J$26,1)</f>
        <v>243</v>
      </c>
      <c r="H12" s="37">
        <f>CEILING(111/'[1]Dollar Rate'!$J$26,1)</f>
        <v>85</v>
      </c>
      <c r="I12" s="37" t="s">
        <v>18</v>
      </c>
      <c r="J12" s="37" t="s">
        <v>23</v>
      </c>
      <c r="K12" s="37" t="s">
        <v>19</v>
      </c>
      <c r="L12" s="37" t="s">
        <v>23</v>
      </c>
      <c r="M12" s="37" t="s">
        <v>23</v>
      </c>
      <c r="N12" s="42" t="s">
        <v>23</v>
      </c>
    </row>
    <row r="13" spans="1:13" ht="12.75">
      <c r="A13" s="43"/>
      <c r="B13" s="44"/>
      <c r="C13" s="45" t="s">
        <v>24</v>
      </c>
      <c r="D13" s="46">
        <v>38991</v>
      </c>
      <c r="E13" s="46">
        <v>39172</v>
      </c>
      <c r="F13" s="37">
        <f>CEILING(358/'[1]Dollar Rate'!$J$26,1)</f>
        <v>274</v>
      </c>
      <c r="G13" s="37">
        <f>CEILING(388/'[1]Dollar Rate'!$J$26,1)</f>
        <v>297</v>
      </c>
      <c r="H13" s="37">
        <f>CEILING(111/'[1]Dollar Rate'!$J$26,1)</f>
        <v>85</v>
      </c>
      <c r="I13" s="37" t="s">
        <v>18</v>
      </c>
      <c r="J13" s="37" t="s">
        <v>23</v>
      </c>
      <c r="K13" s="37" t="s">
        <v>19</v>
      </c>
      <c r="L13" s="37" t="s">
        <v>23</v>
      </c>
      <c r="M13" s="37" t="s">
        <v>23</v>
      </c>
    </row>
    <row r="14" spans="1:13" ht="12.75">
      <c r="A14" s="24"/>
      <c r="B14" s="39" t="s">
        <v>25</v>
      </c>
      <c r="C14" s="26" t="s">
        <v>26</v>
      </c>
      <c r="D14" s="27">
        <v>38991</v>
      </c>
      <c r="E14" s="27">
        <v>39172</v>
      </c>
      <c r="F14" s="28">
        <f>CEILING(677/'[1]Dollar Rate'!$J$26,1)</f>
        <v>517</v>
      </c>
      <c r="G14" s="28">
        <f>CEILING(677/'[1]Dollar Rate'!$J$26,1)</f>
        <v>517</v>
      </c>
      <c r="H14" s="28" t="s">
        <v>27</v>
      </c>
      <c r="I14" s="28" t="s">
        <v>18</v>
      </c>
      <c r="J14" s="28" t="s">
        <v>23</v>
      </c>
      <c r="K14" s="28" t="s">
        <v>19</v>
      </c>
      <c r="L14" s="28" t="s">
        <v>23</v>
      </c>
      <c r="M14" s="28" t="s">
        <v>23</v>
      </c>
    </row>
    <row r="15" spans="1:13" ht="12.75" customHeight="1">
      <c r="A15" s="33"/>
      <c r="B15" s="44"/>
      <c r="C15" s="47" t="s">
        <v>28</v>
      </c>
      <c r="D15" s="27">
        <v>38991</v>
      </c>
      <c r="E15" s="27">
        <v>39172</v>
      </c>
      <c r="F15" s="28">
        <f>CEILING(809/'[1]Dollar Rate'!$J$26,1)</f>
        <v>618</v>
      </c>
      <c r="G15" s="28">
        <f>CEILING(809/'[1]Dollar Rate'!$J$26,1)</f>
        <v>618</v>
      </c>
      <c r="H15" s="28" t="s">
        <v>27</v>
      </c>
      <c r="I15" s="28" t="s">
        <v>18</v>
      </c>
      <c r="J15" s="28" t="s">
        <v>23</v>
      </c>
      <c r="K15" s="28" t="s">
        <v>19</v>
      </c>
      <c r="L15" s="28" t="s">
        <v>23</v>
      </c>
      <c r="M15" s="28" t="s">
        <v>23</v>
      </c>
    </row>
    <row r="16" spans="1:13" ht="12.75">
      <c r="A16" s="48"/>
      <c r="B16" s="49" t="s">
        <v>29</v>
      </c>
      <c r="C16" s="50" t="s">
        <v>30</v>
      </c>
      <c r="D16" s="51">
        <v>38991</v>
      </c>
      <c r="E16" s="51">
        <v>39172</v>
      </c>
      <c r="F16" s="28">
        <f>CEILING(340/'[1]Dollar Rate'!$J$26,1)</f>
        <v>260</v>
      </c>
      <c r="G16" s="28">
        <f>CEILING(340/'[1]Dollar Rate'!$J$26,1)</f>
        <v>260</v>
      </c>
      <c r="H16" s="28">
        <f>CEILING(131/'[1]Dollar Rate'!$J$26,1)</f>
        <v>100</v>
      </c>
      <c r="I16" s="28" t="s">
        <v>18</v>
      </c>
      <c r="J16" s="28" t="s">
        <v>23</v>
      </c>
      <c r="K16" s="28" t="s">
        <v>19</v>
      </c>
      <c r="L16" s="28" t="s">
        <v>23</v>
      </c>
      <c r="M16" s="28" t="s">
        <v>23</v>
      </c>
    </row>
    <row r="17" spans="1:13" ht="12.75">
      <c r="A17" s="52"/>
      <c r="B17" s="53"/>
      <c r="C17" s="26" t="s">
        <v>31</v>
      </c>
      <c r="D17" s="27">
        <v>38991</v>
      </c>
      <c r="E17" s="27">
        <v>39172</v>
      </c>
      <c r="F17" s="28">
        <f>CEILING(374/'[1]Dollar Rate'!$J$26,1)</f>
        <v>286</v>
      </c>
      <c r="G17" s="28">
        <f>CEILING(374/'[1]Dollar Rate'!$J$26,1)</f>
        <v>286</v>
      </c>
      <c r="H17" s="28">
        <f>CEILING(122/'[1]Dollar Rate'!$J$26,1)</f>
        <v>94</v>
      </c>
      <c r="I17" s="28" t="s">
        <v>18</v>
      </c>
      <c r="J17" s="28" t="s">
        <v>23</v>
      </c>
      <c r="K17" s="28" t="s">
        <v>19</v>
      </c>
      <c r="L17" s="28" t="s">
        <v>23</v>
      </c>
      <c r="M17" s="28" t="s">
        <v>23</v>
      </c>
    </row>
    <row r="18" spans="1:13" ht="12.75">
      <c r="A18" s="52"/>
      <c r="B18" s="53"/>
      <c r="C18" s="54" t="s">
        <v>32</v>
      </c>
      <c r="D18" s="55">
        <v>38991</v>
      </c>
      <c r="E18" s="55">
        <v>39172</v>
      </c>
      <c r="F18" s="28">
        <f>CEILING(525/'[1]Dollar Rate'!$J$26,1)</f>
        <v>401</v>
      </c>
      <c r="G18" s="28">
        <f>CEILING(525/'[1]Dollar Rate'!$J$26,1)</f>
        <v>401</v>
      </c>
      <c r="H18" s="28">
        <f>CEILING(131/'[1]Dollar Rate'!$J$26,1)</f>
        <v>100</v>
      </c>
      <c r="I18" s="28" t="s">
        <v>18</v>
      </c>
      <c r="J18" s="28" t="s">
        <v>23</v>
      </c>
      <c r="K18" s="28" t="s">
        <v>19</v>
      </c>
      <c r="L18" s="28" t="s">
        <v>23</v>
      </c>
      <c r="M18" s="28" t="s">
        <v>23</v>
      </c>
    </row>
    <row r="19" spans="1:13" ht="12.75">
      <c r="A19" s="48"/>
      <c r="B19" s="49" t="s">
        <v>33</v>
      </c>
      <c r="C19" s="50" t="s">
        <v>34</v>
      </c>
      <c r="D19" s="51">
        <v>38991</v>
      </c>
      <c r="E19" s="51">
        <v>39172</v>
      </c>
      <c r="F19" s="28">
        <f>CEILING(275/'[1]Dollar Rate'!$J$26,1)</f>
        <v>210</v>
      </c>
      <c r="G19" s="28">
        <f>CEILING(275/'[1]Dollar Rate'!$J$26,1)</f>
        <v>210</v>
      </c>
      <c r="H19" s="28" t="s">
        <v>27</v>
      </c>
      <c r="I19" s="28" t="s">
        <v>18</v>
      </c>
      <c r="J19" s="28">
        <f>CEILING(34/'[1]Dollar Rate'!$J$26,1)</f>
        <v>26</v>
      </c>
      <c r="K19" s="28">
        <f>CEILING(43/'[1]Dollar Rate'!$J$26,1)</f>
        <v>33</v>
      </c>
      <c r="L19" s="28">
        <f>CEILING(59/'[1]Dollar Rate'!$J$26,1)</f>
        <v>46</v>
      </c>
      <c r="M19" s="28">
        <f>CEILING(84/'[1]Dollar Rate'!$J$26,1)</f>
        <v>65</v>
      </c>
    </row>
    <row r="20" spans="1:13" ht="12.75">
      <c r="A20" s="52"/>
      <c r="B20" s="53"/>
      <c r="C20" s="26" t="s">
        <v>35</v>
      </c>
      <c r="D20" s="27">
        <v>38991</v>
      </c>
      <c r="E20" s="27">
        <v>39172</v>
      </c>
      <c r="F20" s="28">
        <f>CEILING(383/'[1]Dollar Rate'!$J$26,1)</f>
        <v>293</v>
      </c>
      <c r="G20" s="28">
        <f>CEILING(383/'[1]Dollar Rate'!$J$26,1)</f>
        <v>293</v>
      </c>
      <c r="H20" s="28">
        <f>CEILING(101/'[1]Dollar Rate'!$J$26,1)</f>
        <v>78</v>
      </c>
      <c r="I20" s="28" t="s">
        <v>18</v>
      </c>
      <c r="J20" s="28">
        <f>CEILING(34/'[1]Dollar Rate'!$J$26,1)</f>
        <v>26</v>
      </c>
      <c r="K20" s="28">
        <f>CEILING(43/'[1]Dollar Rate'!$J$26,1)</f>
        <v>33</v>
      </c>
      <c r="L20" s="28">
        <f>CEILING(59/'[1]Dollar Rate'!$J$26,1)</f>
        <v>46</v>
      </c>
      <c r="M20" s="28">
        <f>CEILING(84/'[1]Dollar Rate'!$J$26,1)</f>
        <v>65</v>
      </c>
    </row>
    <row r="21" spans="1:13" ht="12.75">
      <c r="A21" s="52"/>
      <c r="B21" s="53"/>
      <c r="C21" s="54" t="s">
        <v>36</v>
      </c>
      <c r="D21" s="55">
        <v>38991</v>
      </c>
      <c r="E21" s="55">
        <v>39172</v>
      </c>
      <c r="F21" s="28">
        <f>CEILING(509/'[1]Dollar Rate'!$J$26,1)</f>
        <v>389</v>
      </c>
      <c r="G21" s="28">
        <f>CEILING(509/'[1]Dollar Rate'!$J$26,1)</f>
        <v>389</v>
      </c>
      <c r="H21" s="28">
        <f>CEILING(166/'[1]Dollar Rate'!$J$26,1)</f>
        <v>127</v>
      </c>
      <c r="I21" s="28" t="s">
        <v>18</v>
      </c>
      <c r="J21" s="28">
        <f>CEILING(34/'[1]Dollar Rate'!$J$26,1)</f>
        <v>26</v>
      </c>
      <c r="K21" s="28" t="s">
        <v>19</v>
      </c>
      <c r="L21" s="28">
        <f>CEILING(59/'[1]Dollar Rate'!$J$26,1)</f>
        <v>46</v>
      </c>
      <c r="M21" s="28">
        <f>CEILING(84/'[1]Dollar Rate'!$J$26,1)</f>
        <v>65</v>
      </c>
    </row>
    <row r="22" spans="1:13" ht="12.75">
      <c r="A22" s="48"/>
      <c r="B22" s="49" t="s">
        <v>37</v>
      </c>
      <c r="C22" s="50" t="s">
        <v>26</v>
      </c>
      <c r="D22" s="51">
        <v>38991</v>
      </c>
      <c r="E22" s="51">
        <v>39172</v>
      </c>
      <c r="F22" s="28">
        <f>CEILING(318/'[1]Dollar Rate'!$J$26,1)</f>
        <v>243</v>
      </c>
      <c r="G22" s="28">
        <f>CEILING(318/'[1]Dollar Rate'!$J$26,1)</f>
        <v>243</v>
      </c>
      <c r="H22" s="28">
        <f>CEILING(112/'[1]Dollar Rate'!$J$26,1)</f>
        <v>86</v>
      </c>
      <c r="I22" s="28" t="s">
        <v>18</v>
      </c>
      <c r="J22" s="28">
        <f>CEILING(34/'[1]Dollar Rate'!$J$26,1)</f>
        <v>26</v>
      </c>
      <c r="K22" s="28" t="s">
        <v>19</v>
      </c>
      <c r="L22" s="28">
        <f>CEILING(59/'[1]Dollar Rate'!$J$26,1)</f>
        <v>46</v>
      </c>
      <c r="M22" s="28">
        <f>CEILING(79/'[1]Dollar Rate'!$J$26,1)</f>
        <v>61</v>
      </c>
    </row>
    <row r="23" spans="1:13" ht="12.75">
      <c r="A23" s="52"/>
      <c r="B23" s="53"/>
      <c r="C23" s="26" t="s">
        <v>38</v>
      </c>
      <c r="D23" s="27">
        <v>38991</v>
      </c>
      <c r="E23" s="27">
        <v>39172</v>
      </c>
      <c r="F23" s="28">
        <f>CEILING(375/'[1]Dollar Rate'!$J$26,1)</f>
        <v>287</v>
      </c>
      <c r="G23" s="28">
        <f>CEILING(375/'[1]Dollar Rate'!$J$26,1)</f>
        <v>287</v>
      </c>
      <c r="H23" s="28">
        <f>CEILING(112/'[1]Dollar Rate'!$J$26,1)</f>
        <v>86</v>
      </c>
      <c r="I23" s="28" t="s">
        <v>18</v>
      </c>
      <c r="J23" s="28">
        <f>CEILING(34/'[1]Dollar Rate'!$J$26,1)</f>
        <v>26</v>
      </c>
      <c r="K23" s="28" t="s">
        <v>19</v>
      </c>
      <c r="L23" s="28">
        <f>CEILING(59/'[1]Dollar Rate'!$J$26,1)</f>
        <v>46</v>
      </c>
      <c r="M23" s="28">
        <f>CEILING(79/'[1]Dollar Rate'!$J$26,1)</f>
        <v>61</v>
      </c>
    </row>
    <row r="24" spans="1:13" ht="12.75">
      <c r="A24" s="52"/>
      <c r="B24" s="53"/>
      <c r="C24" s="54" t="s">
        <v>39</v>
      </c>
      <c r="D24" s="55">
        <v>38991</v>
      </c>
      <c r="E24" s="55">
        <v>39172</v>
      </c>
      <c r="F24" s="28">
        <f>CEILING(407/'[1]Dollar Rate'!$J$26,1)</f>
        <v>311</v>
      </c>
      <c r="G24" s="28">
        <f>CEILING(407/'[1]Dollar Rate'!$J$26,1)</f>
        <v>311</v>
      </c>
      <c r="H24" s="28">
        <f>CEILING(110/'[1]Dollar Rate'!$J$26,1)</f>
        <v>84</v>
      </c>
      <c r="I24" s="28" t="s">
        <v>18</v>
      </c>
      <c r="J24" s="28">
        <f>CEILING(34/'[1]Dollar Rate'!$J$26,1)</f>
        <v>26</v>
      </c>
      <c r="K24" s="28" t="s">
        <v>19</v>
      </c>
      <c r="L24" s="28">
        <f>CEILING(59/'[1]Dollar Rate'!$J$26,1)</f>
        <v>46</v>
      </c>
      <c r="M24" s="28">
        <f>CEILING(79/'[1]Dollar Rate'!$J$26,1)</f>
        <v>61</v>
      </c>
    </row>
    <row r="25" ht="13.5" thickBot="1"/>
    <row r="26" spans="1:2" ht="13.5" thickTop="1">
      <c r="A26" s="22" t="s">
        <v>40</v>
      </c>
      <c r="B26" s="23"/>
    </row>
    <row r="27" spans="1:13" ht="12.75">
      <c r="A27" s="56"/>
      <c r="B27" s="57" t="s">
        <v>41</v>
      </c>
      <c r="C27" s="58" t="s">
        <v>17</v>
      </c>
      <c r="D27" s="59">
        <v>38991</v>
      </c>
      <c r="E27" s="59">
        <v>39172</v>
      </c>
      <c r="F27" s="37">
        <f>CEILING(288/'[1]Dollar Rate'!$J$26,1)</f>
        <v>220</v>
      </c>
      <c r="G27" s="37">
        <f>CEILING(308/'[1]Dollar Rate'!$J$26,1)</f>
        <v>236</v>
      </c>
      <c r="H27" s="37">
        <f>CEILING(100/'[1]Dollar Rate'!$J$26,1)</f>
        <v>77</v>
      </c>
      <c r="I27" s="37" t="s">
        <v>18</v>
      </c>
      <c r="J27" s="37">
        <f>CEILING(22/'[1]Dollar Rate'!$J$26,1)</f>
        <v>17</v>
      </c>
      <c r="K27" s="37" t="s">
        <v>19</v>
      </c>
      <c r="L27" s="37">
        <f>CEILING(39/'[1]Dollar Rate'!$J$26,1)</f>
        <v>30</v>
      </c>
      <c r="M27" s="37">
        <f>CEILING(46/'[1]Dollar Rate'!$J$26,1)</f>
        <v>36</v>
      </c>
    </row>
    <row r="28" spans="1:13" ht="12.75">
      <c r="A28" s="56"/>
      <c r="B28" s="57" t="s">
        <v>42</v>
      </c>
      <c r="C28" s="58" t="s">
        <v>17</v>
      </c>
      <c r="D28" s="59">
        <v>38991</v>
      </c>
      <c r="E28" s="59">
        <v>39172</v>
      </c>
      <c r="F28" s="37">
        <f>CEILING(268/'[1]Dollar Rate'!$J$26,1)</f>
        <v>205</v>
      </c>
      <c r="G28" s="37">
        <f>CEILING(268/'[1]Dollar Rate'!$J$26,1)</f>
        <v>205</v>
      </c>
      <c r="H28" s="37">
        <f>CEILING(81/'[1]Dollar Rate'!$J$26,1)</f>
        <v>62</v>
      </c>
      <c r="I28" s="37" t="s">
        <v>18</v>
      </c>
      <c r="J28" s="28" t="s">
        <v>23</v>
      </c>
      <c r="K28" s="37" t="s">
        <v>19</v>
      </c>
      <c r="L28" s="28" t="s">
        <v>23</v>
      </c>
      <c r="M28" s="28" t="s">
        <v>23</v>
      </c>
    </row>
    <row r="29" spans="1:13" ht="12.75">
      <c r="A29" s="60"/>
      <c r="B29" s="57" t="s">
        <v>43</v>
      </c>
      <c r="C29" s="58" t="s">
        <v>17</v>
      </c>
      <c r="D29" s="59">
        <v>38991</v>
      </c>
      <c r="E29" s="59">
        <v>39172</v>
      </c>
      <c r="F29" s="28">
        <f>CEILING(254/'[1]Dollar Rate'!$J$26,1)</f>
        <v>194</v>
      </c>
      <c r="G29" s="28">
        <f>CEILING(254/'[1]Dollar Rate'!$J$26,1)</f>
        <v>194</v>
      </c>
      <c r="H29" s="28">
        <f>CEILING(101/'[1]Dollar Rate'!$J$26,1)</f>
        <v>78</v>
      </c>
      <c r="I29" s="28" t="s">
        <v>18</v>
      </c>
      <c r="J29" s="28" t="s">
        <v>23</v>
      </c>
      <c r="K29" s="28" t="s">
        <v>19</v>
      </c>
      <c r="L29" s="28" t="s">
        <v>23</v>
      </c>
      <c r="M29" s="28" t="s">
        <v>23</v>
      </c>
    </row>
    <row r="30" spans="1:13" ht="12.75">
      <c r="A30" s="56"/>
      <c r="B30" s="57" t="s">
        <v>44</v>
      </c>
      <c r="C30" s="58" t="s">
        <v>17</v>
      </c>
      <c r="D30" s="59">
        <v>38991</v>
      </c>
      <c r="E30" s="59">
        <v>39172</v>
      </c>
      <c r="F30" s="37">
        <f>CEILING(213/'[1]Dollar Rate'!$J$26,1)</f>
        <v>163</v>
      </c>
      <c r="G30" s="37">
        <f>CEILING(213/'[1]Dollar Rate'!$J$26,1)</f>
        <v>163</v>
      </c>
      <c r="H30" s="37">
        <f>CEILING(86/'[1]Dollar Rate'!$J$26,1)</f>
        <v>66</v>
      </c>
      <c r="I30" s="28" t="s">
        <v>18</v>
      </c>
      <c r="J30" s="28" t="s">
        <v>23</v>
      </c>
      <c r="K30" s="28" t="s">
        <v>19</v>
      </c>
      <c r="L30" s="28" t="s">
        <v>23</v>
      </c>
      <c r="M30" s="28" t="s">
        <v>23</v>
      </c>
    </row>
    <row r="31" spans="1:13" ht="12.75">
      <c r="A31" s="38"/>
      <c r="B31" s="39" t="s">
        <v>45</v>
      </c>
      <c r="C31" s="26" t="s">
        <v>17</v>
      </c>
      <c r="D31" s="27">
        <v>38991</v>
      </c>
      <c r="E31" s="27">
        <v>39172</v>
      </c>
      <c r="F31" s="28">
        <f>CEILING(224/'[1]Dollar Rate'!$J$26,1)</f>
        <v>171</v>
      </c>
      <c r="G31" s="28">
        <f>CEILING(224/'[1]Dollar Rate'!$J$26,1)</f>
        <v>171</v>
      </c>
      <c r="H31" s="28">
        <f>CEILING(97/'[1]Dollar Rate'!$J$26,1)</f>
        <v>75</v>
      </c>
      <c r="I31" s="28" t="s">
        <v>18</v>
      </c>
      <c r="J31" s="28">
        <f>CEILING(28/'[1]Dollar Rate'!$J$26,1)</f>
        <v>22</v>
      </c>
      <c r="K31" s="28" t="s">
        <v>19</v>
      </c>
      <c r="L31" s="28">
        <f>CEILING(49/'[1]Dollar Rate'!$J$26,1)</f>
        <v>38</v>
      </c>
      <c r="M31" s="28">
        <f>CEILING(49/'[1]Dollar Rate'!$J$26,1)</f>
        <v>38</v>
      </c>
    </row>
    <row r="32" spans="1:13" ht="12.75">
      <c r="A32" s="43"/>
      <c r="B32" s="44"/>
      <c r="C32" s="54" t="s">
        <v>46</v>
      </c>
      <c r="D32" s="55">
        <v>38991</v>
      </c>
      <c r="E32" s="55">
        <v>39172</v>
      </c>
      <c r="F32" s="28">
        <f>CEILING(265/'[1]Dollar Rate'!$J$26,1)</f>
        <v>203</v>
      </c>
      <c r="G32" s="28">
        <f>CEILING(265/'[1]Dollar Rate'!$J$26,1)</f>
        <v>203</v>
      </c>
      <c r="H32" s="28">
        <f>CEILING(103/'[1]Dollar Rate'!$J$26,1)</f>
        <v>79</v>
      </c>
      <c r="I32" s="28" t="s">
        <v>18</v>
      </c>
      <c r="J32" s="28">
        <f>CEILING(28/'[1]Dollar Rate'!$J$26,1)</f>
        <v>22</v>
      </c>
      <c r="K32" s="28" t="s">
        <v>19</v>
      </c>
      <c r="L32" s="28">
        <f>CEILING(49/'[1]Dollar Rate'!$J$26,1)</f>
        <v>38</v>
      </c>
      <c r="M32" s="28">
        <f>CEILING(49/'[1]Dollar Rate'!$J$26,1)</f>
        <v>38</v>
      </c>
    </row>
    <row r="33" spans="1:13" ht="12.75">
      <c r="A33" s="56"/>
      <c r="B33" s="57" t="s">
        <v>47</v>
      </c>
      <c r="C33" s="58" t="s">
        <v>17</v>
      </c>
      <c r="D33" s="59">
        <v>38991</v>
      </c>
      <c r="E33" s="59">
        <v>39172</v>
      </c>
      <c r="F33" s="37">
        <f>CEILING(178/'[1]Dollar Rate'!$J$26,1)</f>
        <v>136</v>
      </c>
      <c r="G33" s="37">
        <f>CEILING(178/'[1]Dollar Rate'!$J$26,1)</f>
        <v>136</v>
      </c>
      <c r="H33" s="28">
        <f>CEILING(81/'[1]Dollar Rate'!$J$26,1)</f>
        <v>62</v>
      </c>
      <c r="I33" s="37" t="s">
        <v>18</v>
      </c>
      <c r="J33" s="37">
        <f>CEILING(25/'[1]Dollar Rate'!$J$26,1)</f>
        <v>20</v>
      </c>
      <c r="K33" s="28" t="s">
        <v>19</v>
      </c>
      <c r="L33" s="37">
        <f>CEILING(44/'[1]Dollar Rate'!$J$26,1)</f>
        <v>34</v>
      </c>
      <c r="M33" s="37">
        <f>CEILING(59/'[1]Dollar Rate'!$J$26,1)</f>
        <v>46</v>
      </c>
    </row>
    <row r="34" spans="1:13" ht="12.75">
      <c r="A34" s="38"/>
      <c r="B34" s="39" t="s">
        <v>48</v>
      </c>
      <c r="C34" s="26" t="s">
        <v>17</v>
      </c>
      <c r="D34" s="27">
        <v>38991</v>
      </c>
      <c r="E34" s="27">
        <v>39172</v>
      </c>
      <c r="F34" s="37">
        <f>CEILING(233/'[1]Dollar Rate'!$J$26,1)</f>
        <v>178</v>
      </c>
      <c r="G34" s="37">
        <f>CEILING(253/'[1]Dollar Rate'!$J$26,1)</f>
        <v>194</v>
      </c>
      <c r="H34" s="37">
        <f>CEILING(106/'[1]Dollar Rate'!$J$26,1)</f>
        <v>81</v>
      </c>
      <c r="I34" s="37" t="s">
        <v>18</v>
      </c>
      <c r="J34" s="37">
        <f>CEILING(24/'[1]Dollar Rate'!$J$26,1)</f>
        <v>19</v>
      </c>
      <c r="K34" s="28" t="s">
        <v>19</v>
      </c>
      <c r="L34" s="37">
        <f>CEILING(42/'[1]Dollar Rate'!$J$26,1)</f>
        <v>33</v>
      </c>
      <c r="M34" s="37">
        <f>CEILING(52/'[1]Dollar Rate'!$J$26,1)</f>
        <v>40</v>
      </c>
    </row>
    <row r="35" spans="1:13" ht="12.75">
      <c r="A35" s="43"/>
      <c r="B35" s="44"/>
      <c r="C35" s="54" t="s">
        <v>32</v>
      </c>
      <c r="D35" s="55">
        <v>38991</v>
      </c>
      <c r="E35" s="55">
        <v>39172</v>
      </c>
      <c r="F35" s="37">
        <f>CEILING(283/'[1]Dollar Rate'!$J$26,1)</f>
        <v>217</v>
      </c>
      <c r="G35" s="37">
        <f>CEILING(303/'[1]Dollar Rate'!$J$26,1)</f>
        <v>232</v>
      </c>
      <c r="H35" s="37">
        <f>CEILING(106/'[1]Dollar Rate'!$J$26,1)</f>
        <v>81</v>
      </c>
      <c r="I35" s="37" t="s">
        <v>18</v>
      </c>
      <c r="J35" s="37">
        <f>CEILING(24/'[1]Dollar Rate'!$J$26,1)</f>
        <v>19</v>
      </c>
      <c r="K35" s="28" t="s">
        <v>19</v>
      </c>
      <c r="L35" s="37">
        <f>CEILING(42/'[1]Dollar Rate'!$J$26,1)</f>
        <v>33</v>
      </c>
      <c r="M35" s="37">
        <f>CEILING(52/'[1]Dollar Rate'!$J$26,1)</f>
        <v>40</v>
      </c>
    </row>
    <row r="36" spans="1:13" ht="12.75">
      <c r="A36" s="38"/>
      <c r="B36" s="39" t="s">
        <v>49</v>
      </c>
      <c r="C36" s="26" t="s">
        <v>50</v>
      </c>
      <c r="D36" s="27">
        <v>38991</v>
      </c>
      <c r="E36" s="27">
        <v>39172</v>
      </c>
      <c r="F36" s="28">
        <f>CEILING(225/'[1]Dollar Rate'!$J$26,1)</f>
        <v>172</v>
      </c>
      <c r="G36" s="28">
        <f>CEILING(225/'[1]Dollar Rate'!$J$26,1)</f>
        <v>172</v>
      </c>
      <c r="H36" s="28">
        <f>CEILING(106/'[1]Dollar Rate'!$J$26,1)</f>
        <v>81</v>
      </c>
      <c r="I36" s="28" t="s">
        <v>18</v>
      </c>
      <c r="J36" s="28">
        <f>CEILING(29/'[1]Dollar Rate'!$J$26,1)</f>
        <v>23</v>
      </c>
      <c r="K36" s="28" t="s">
        <v>19</v>
      </c>
      <c r="L36" s="28">
        <f>CEILING(50/'[1]Dollar Rate'!$J$26,1)</f>
        <v>39</v>
      </c>
      <c r="M36" s="28">
        <f>CEILING(82/'[1]Dollar Rate'!$J$26,1)</f>
        <v>63</v>
      </c>
    </row>
    <row r="37" spans="1:13" ht="12.75">
      <c r="A37" s="43"/>
      <c r="B37" s="44"/>
      <c r="C37" s="54" t="s">
        <v>51</v>
      </c>
      <c r="D37" s="55">
        <v>38991</v>
      </c>
      <c r="E37" s="55">
        <v>39172</v>
      </c>
      <c r="F37" s="28">
        <f>CEILING(261/'[1]Dollar Rate'!$J$26,1)</f>
        <v>200</v>
      </c>
      <c r="G37" s="28">
        <f>CEILING(261/'[1]Dollar Rate'!$J$26,1)</f>
        <v>200</v>
      </c>
      <c r="H37" s="28">
        <f>CEILING(106/'[1]Dollar Rate'!$J$26,1)</f>
        <v>81</v>
      </c>
      <c r="I37" s="28" t="s">
        <v>18</v>
      </c>
      <c r="J37" s="28">
        <f>CEILING(29/'[1]Dollar Rate'!$J$26,1)</f>
        <v>23</v>
      </c>
      <c r="K37" s="28" t="s">
        <v>19</v>
      </c>
      <c r="L37" s="28">
        <f>CEILING(50/'[1]Dollar Rate'!$J$26,1)</f>
        <v>39</v>
      </c>
      <c r="M37" s="28">
        <f>CEILING(82/'[1]Dollar Rate'!$J$26,1)</f>
        <v>63</v>
      </c>
    </row>
    <row r="38" spans="1:13" ht="12.75">
      <c r="A38" s="56"/>
      <c r="B38" s="57" t="s">
        <v>52</v>
      </c>
      <c r="C38" s="58" t="s">
        <v>17</v>
      </c>
      <c r="D38" s="59">
        <v>38991</v>
      </c>
      <c r="E38" s="59">
        <v>39172</v>
      </c>
      <c r="F38" s="28">
        <f>CEILING(265/'[1]Dollar Rate'!$J$26,1)</f>
        <v>203</v>
      </c>
      <c r="G38" s="28">
        <f>CEILING(265/'[1]Dollar Rate'!$J$26,1)</f>
        <v>203</v>
      </c>
      <c r="H38" s="28">
        <f>CEILING(106/'[1]Dollar Rate'!$J$26,1)</f>
        <v>81</v>
      </c>
      <c r="I38" s="28" t="s">
        <v>18</v>
      </c>
      <c r="J38" s="28">
        <f>CEILING(25/'[1]Dollar Rate'!$J$26,1)</f>
        <v>20</v>
      </c>
      <c r="K38" s="28" t="s">
        <v>19</v>
      </c>
      <c r="L38" s="28">
        <f>CEILING(44/'[1]Dollar Rate'!$J$26,1)</f>
        <v>34</v>
      </c>
      <c r="M38" s="28">
        <f>CEILING(54/'[1]Dollar Rate'!$J$26,1)</f>
        <v>42</v>
      </c>
    </row>
    <row r="39" spans="1:13" ht="12.75">
      <c r="A39" s="56"/>
      <c r="B39" s="57" t="s">
        <v>53</v>
      </c>
      <c r="C39" s="58" t="s">
        <v>17</v>
      </c>
      <c r="D39" s="59">
        <v>38991</v>
      </c>
      <c r="E39" s="59">
        <v>39172</v>
      </c>
      <c r="F39" s="28">
        <f>CEILING(196/'[1]Dollar Rate'!$J$26,1)</f>
        <v>150</v>
      </c>
      <c r="G39" s="28">
        <f>CEILING(211/'[1]Dollar Rate'!$J$26,1)</f>
        <v>162</v>
      </c>
      <c r="H39" s="28">
        <f>CEILING(96/'[1]Dollar Rate'!$J$26,1)</f>
        <v>74</v>
      </c>
      <c r="I39" s="28" t="s">
        <v>18</v>
      </c>
      <c r="J39" s="28">
        <f>CEILING(28/'[1]Dollar Rate'!$J$26,1)</f>
        <v>22</v>
      </c>
      <c r="K39" s="28" t="s">
        <v>19</v>
      </c>
      <c r="L39" s="28">
        <f>CEILING(49/'[1]Dollar Rate'!$J$26,1)</f>
        <v>38</v>
      </c>
      <c r="M39" s="28">
        <f>CEILING(59/'[1]Dollar Rate'!$J$26,1)</f>
        <v>46</v>
      </c>
    </row>
    <row r="40" spans="1:13" ht="12.75">
      <c r="A40" s="38"/>
      <c r="B40" s="39" t="s">
        <v>54</v>
      </c>
      <c r="C40" s="26" t="s">
        <v>55</v>
      </c>
      <c r="D40" s="27">
        <v>38991</v>
      </c>
      <c r="E40" s="27">
        <v>39172</v>
      </c>
      <c r="F40" s="28">
        <f>CEILING(187/'[1]Dollar Rate'!$J$26,1)</f>
        <v>143</v>
      </c>
      <c r="G40" s="28">
        <f>CEILING(187/'[1]Dollar Rate'!$J$26,1)</f>
        <v>143</v>
      </c>
      <c r="H40" s="28">
        <f>CEILING(54/'[1]Dollar Rate'!$J$26,1)</f>
        <v>42</v>
      </c>
      <c r="I40" s="28" t="s">
        <v>18</v>
      </c>
      <c r="J40" s="28">
        <f>CEILING(21/'[1]Dollar Rate'!$J$26,1)</f>
        <v>17</v>
      </c>
      <c r="K40" s="28" t="s">
        <v>19</v>
      </c>
      <c r="L40" s="28">
        <f>CEILING(37/'[1]Dollar Rate'!$J$26,1)</f>
        <v>29</v>
      </c>
      <c r="M40" s="28">
        <f>CEILING(47/'[1]Dollar Rate'!$J$26,1)</f>
        <v>36</v>
      </c>
    </row>
    <row r="41" spans="1:13" ht="12.75">
      <c r="A41" s="43"/>
      <c r="B41" s="44"/>
      <c r="C41" s="54" t="s">
        <v>56</v>
      </c>
      <c r="D41" s="55">
        <v>38991</v>
      </c>
      <c r="E41" s="55">
        <v>39172</v>
      </c>
      <c r="F41" s="28">
        <f>CEILING(177/'[1]Dollar Rate'!$J$26,1)</f>
        <v>136</v>
      </c>
      <c r="G41" s="28">
        <f>CEILING(177/'[1]Dollar Rate'!$J$26,1)</f>
        <v>136</v>
      </c>
      <c r="H41" s="28">
        <f>CEILING(68/'[1]Dollar Rate'!$J$26,1)</f>
        <v>52</v>
      </c>
      <c r="I41" s="28" t="s">
        <v>18</v>
      </c>
      <c r="J41" s="28">
        <f>CEILING(21/'[1]Dollar Rate'!$J$26,1)</f>
        <v>17</v>
      </c>
      <c r="K41" s="28" t="s">
        <v>19</v>
      </c>
      <c r="L41" s="28">
        <f>CEILING(37/'[1]Dollar Rate'!$J$26,1)</f>
        <v>29</v>
      </c>
      <c r="M41" s="28">
        <f>CEILING(47/'[1]Dollar Rate'!$J$26,1)</f>
        <v>36</v>
      </c>
    </row>
    <row r="42" spans="1:13" ht="12.75">
      <c r="A42" s="38"/>
      <c r="B42" s="39" t="s">
        <v>57</v>
      </c>
      <c r="C42" s="26" t="s">
        <v>58</v>
      </c>
      <c r="D42" s="27">
        <v>38991</v>
      </c>
      <c r="E42" s="27">
        <v>39172</v>
      </c>
      <c r="F42" s="37">
        <f>CEILING(178/'[1]Dollar Rate'!$J$26,1)</f>
        <v>136</v>
      </c>
      <c r="G42" s="37">
        <f>CEILING(178/'[1]Dollar Rate'!$J$26,1)</f>
        <v>136</v>
      </c>
      <c r="H42" s="37">
        <f>CEILING(86/'[1]Dollar Rate'!$J$26,1)</f>
        <v>66</v>
      </c>
      <c r="I42" s="28" t="s">
        <v>18</v>
      </c>
      <c r="J42" s="37">
        <f>CEILING(22/'[1]Dollar Rate'!$J$26,1)</f>
        <v>17</v>
      </c>
      <c r="K42" s="28" t="s">
        <v>19</v>
      </c>
      <c r="L42" s="37">
        <f>CEILING(39/'[1]Dollar Rate'!$J$26,1)</f>
        <v>30</v>
      </c>
      <c r="M42" s="37">
        <f>CEILING(44/'[1]Dollar Rate'!$J$26,1)</f>
        <v>34</v>
      </c>
    </row>
    <row r="43" spans="1:13" ht="12.75">
      <c r="A43" s="43"/>
      <c r="B43" s="44"/>
      <c r="C43" s="54" t="s">
        <v>59</v>
      </c>
      <c r="D43" s="55">
        <v>38991</v>
      </c>
      <c r="E43" s="55">
        <v>39172</v>
      </c>
      <c r="F43" s="37">
        <f>CEILING(198/'[1]Dollar Rate'!$J$26,1)</f>
        <v>152</v>
      </c>
      <c r="G43" s="37">
        <f>CEILING(198/'[1]Dollar Rate'!$J$26,1)</f>
        <v>152</v>
      </c>
      <c r="H43" s="37">
        <f>CEILING(86/'[1]Dollar Rate'!$J$26,1)</f>
        <v>66</v>
      </c>
      <c r="I43" s="28" t="s">
        <v>18</v>
      </c>
      <c r="J43" s="37">
        <f>CEILING(22/'[1]Dollar Rate'!$J$26,1)</f>
        <v>17</v>
      </c>
      <c r="K43" s="28" t="s">
        <v>19</v>
      </c>
      <c r="L43" s="37">
        <f>CEILING(39/'[1]Dollar Rate'!$J$26,1)</f>
        <v>30</v>
      </c>
      <c r="M43" s="37">
        <f>CEILING(44/'[1]Dollar Rate'!$J$26,1)</f>
        <v>34</v>
      </c>
    </row>
    <row r="44" spans="1:13" ht="12.75">
      <c r="A44" s="61"/>
      <c r="B44" s="49" t="s">
        <v>60</v>
      </c>
      <c r="C44" s="50" t="s">
        <v>17</v>
      </c>
      <c r="D44" s="51">
        <v>38991</v>
      </c>
      <c r="E44" s="51">
        <v>39172</v>
      </c>
      <c r="F44" s="37">
        <f>CEILING(228/'[1]Dollar Rate'!$J$26,1)</f>
        <v>175</v>
      </c>
      <c r="G44" s="37">
        <f>CEILING(228/'[1]Dollar Rate'!$J$26,1)</f>
        <v>175</v>
      </c>
      <c r="H44" s="37">
        <f>CEILING(106/'[1]Dollar Rate'!$J$26,1)</f>
        <v>81</v>
      </c>
      <c r="I44" s="28" t="s">
        <v>18</v>
      </c>
      <c r="J44" s="37">
        <f>CEILING(25/'[1]Dollar Rate'!$J$26,1)</f>
        <v>20</v>
      </c>
      <c r="K44" s="28" t="s">
        <v>19</v>
      </c>
      <c r="L44" s="37">
        <f>CEILING(44/'[1]Dollar Rate'!$J$26,1)</f>
        <v>34</v>
      </c>
      <c r="M44" s="37">
        <f>CEILING(59/'[1]Dollar Rate'!$J$26,1)</f>
        <v>46</v>
      </c>
    </row>
    <row r="45" spans="1:13" ht="12.75">
      <c r="A45" s="62"/>
      <c r="B45" s="53"/>
      <c r="C45" s="26" t="s">
        <v>61</v>
      </c>
      <c r="D45" s="27">
        <v>38991</v>
      </c>
      <c r="E45" s="27">
        <v>39172</v>
      </c>
      <c r="F45" s="37">
        <f>CEILING(248/'[1]Dollar Rate'!$J$26,1)</f>
        <v>190</v>
      </c>
      <c r="G45" s="37">
        <f>CEILING(248/'[1]Dollar Rate'!$J$26,1)</f>
        <v>190</v>
      </c>
      <c r="H45" s="37">
        <f>CEILING(106/'[1]Dollar Rate'!$J$26,1)</f>
        <v>81</v>
      </c>
      <c r="I45" s="28" t="s">
        <v>18</v>
      </c>
      <c r="J45" s="37">
        <f>CEILING(25/'[1]Dollar Rate'!$J$26,1)</f>
        <v>20</v>
      </c>
      <c r="K45" s="28" t="s">
        <v>19</v>
      </c>
      <c r="L45" s="37">
        <f>CEILING(44/'[1]Dollar Rate'!$J$26,1)</f>
        <v>34</v>
      </c>
      <c r="M45" s="37">
        <f>CEILING(59/'[1]Dollar Rate'!$J$26,1)</f>
        <v>46</v>
      </c>
    </row>
    <row r="46" spans="1:13" ht="12.75">
      <c r="A46" s="62"/>
      <c r="B46" s="53"/>
      <c r="C46" s="54" t="s">
        <v>62</v>
      </c>
      <c r="D46" s="55">
        <v>38991</v>
      </c>
      <c r="E46" s="55">
        <v>39172</v>
      </c>
      <c r="F46" s="37">
        <f>CEILING(258/'[1]Dollar Rate'!$J$26,1)</f>
        <v>197</v>
      </c>
      <c r="G46" s="37">
        <f>CEILING(258/'[1]Dollar Rate'!$J$26,1)</f>
        <v>197</v>
      </c>
      <c r="H46" s="37">
        <f>CEILING(106/'[1]Dollar Rate'!$J$26,1)</f>
        <v>81</v>
      </c>
      <c r="I46" s="28" t="s">
        <v>18</v>
      </c>
      <c r="J46" s="37">
        <f>CEILING(25/'[1]Dollar Rate'!$J$26,1)</f>
        <v>20</v>
      </c>
      <c r="K46" s="28" t="s">
        <v>19</v>
      </c>
      <c r="L46" s="37">
        <f>CEILING(44/'[1]Dollar Rate'!$J$26,1)</f>
        <v>34</v>
      </c>
      <c r="M46" s="37">
        <f>CEILING(59/'[1]Dollar Rate'!$J$26,1)</f>
        <v>46</v>
      </c>
    </row>
    <row r="47" spans="1:13" ht="12.75">
      <c r="A47" s="38"/>
      <c r="B47" s="39" t="s">
        <v>63</v>
      </c>
      <c r="C47" s="26" t="s">
        <v>64</v>
      </c>
      <c r="D47" s="27">
        <v>38991</v>
      </c>
      <c r="E47" s="27">
        <v>39172</v>
      </c>
      <c r="F47" s="28">
        <f>CEILING(204/'[1]Dollar Rate'!$J$26,1)</f>
        <v>156</v>
      </c>
      <c r="G47" s="28">
        <f>CEILING(204/'[1]Dollar Rate'!$J$26,1)</f>
        <v>156</v>
      </c>
      <c r="H47" s="28">
        <f>CEILING(75/'[1]Dollar Rate'!$J$26,1)</f>
        <v>58</v>
      </c>
      <c r="I47" s="28" t="s">
        <v>18</v>
      </c>
      <c r="J47" s="28">
        <f>CEILING(22/'[1]Dollar Rate'!$J$26,1)</f>
        <v>17</v>
      </c>
      <c r="K47" s="28" t="s">
        <v>19</v>
      </c>
      <c r="L47" s="28">
        <f>CEILING(39/'[1]Dollar Rate'!$J$26,1)</f>
        <v>30</v>
      </c>
      <c r="M47" s="28">
        <f>CEILING(49/'[1]Dollar Rate'!$J$26,1)</f>
        <v>38</v>
      </c>
    </row>
    <row r="48" spans="1:13" ht="12.75">
      <c r="A48" s="43"/>
      <c r="B48" s="44"/>
      <c r="C48" s="54" t="s">
        <v>65</v>
      </c>
      <c r="D48" s="55">
        <v>38991</v>
      </c>
      <c r="E48" s="55">
        <v>39172</v>
      </c>
      <c r="F48" s="28">
        <f>CEILING(224/'[1]Dollar Rate'!$J$26,1)</f>
        <v>171</v>
      </c>
      <c r="G48" s="28">
        <f>CEILING(224/'[1]Dollar Rate'!$J$26,1)</f>
        <v>171</v>
      </c>
      <c r="H48" s="28">
        <f>CEILING(75/'[1]Dollar Rate'!$J$26,1)</f>
        <v>58</v>
      </c>
      <c r="I48" s="28" t="s">
        <v>18</v>
      </c>
      <c r="J48" s="28">
        <f>CEILING(22/'[1]Dollar Rate'!$J$26,1)</f>
        <v>17</v>
      </c>
      <c r="K48" s="28" t="s">
        <v>19</v>
      </c>
      <c r="L48" s="28">
        <f>CEILING(39/'[1]Dollar Rate'!$J$26,1)</f>
        <v>30</v>
      </c>
      <c r="M48" s="28">
        <f>CEILING(49/'[1]Dollar Rate'!$J$26,1)</f>
        <v>38</v>
      </c>
    </row>
    <row r="49" spans="1:13" ht="12.75">
      <c r="A49" s="56"/>
      <c r="B49" s="57" t="s">
        <v>66</v>
      </c>
      <c r="C49" s="58" t="s">
        <v>56</v>
      </c>
      <c r="D49" s="59">
        <v>38991</v>
      </c>
      <c r="E49" s="59">
        <v>39172</v>
      </c>
      <c r="F49" s="37">
        <f>CEILING(253/'[1]Dollar Rate'!$J$26,1)</f>
        <v>194</v>
      </c>
      <c r="G49" s="37">
        <f>CEILING(253/'[1]Dollar Rate'!$J$26,1)</f>
        <v>194</v>
      </c>
      <c r="H49" s="37">
        <f>CEILING(101/'[1]Dollar Rate'!$J$26,1)</f>
        <v>78</v>
      </c>
      <c r="I49" s="28" t="s">
        <v>18</v>
      </c>
      <c r="J49" s="37">
        <f>CEILING(33/'[1]Dollar Rate'!$J$26,1)</f>
        <v>26</v>
      </c>
      <c r="K49" s="37">
        <f>CEILING(37.5/'[1]Dollar Rate'!$J$26,1)</f>
        <v>29</v>
      </c>
      <c r="L49" s="37">
        <f>CEILING(40/'[1]Dollar Rate'!$J$26,1)</f>
        <v>31</v>
      </c>
      <c r="M49" s="37" t="s">
        <v>23</v>
      </c>
    </row>
    <row r="50" spans="1:13" ht="12.75">
      <c r="A50" s="24"/>
      <c r="B50" s="39" t="s">
        <v>67</v>
      </c>
      <c r="C50" s="26" t="s">
        <v>17</v>
      </c>
      <c r="D50" s="27">
        <v>38991</v>
      </c>
      <c r="E50" s="27">
        <v>39172</v>
      </c>
      <c r="F50" s="28">
        <f>CEILING(235/'[1]Dollar Rate'!$J$26,1)</f>
        <v>180</v>
      </c>
      <c r="G50" s="28">
        <f>CEILING(235/'[1]Dollar Rate'!$J$26,1)</f>
        <v>180</v>
      </c>
      <c r="H50" s="28">
        <f>CEILING(114/'[1]Dollar Rate'!$J$26,1)</f>
        <v>88</v>
      </c>
      <c r="I50" s="28" t="s">
        <v>18</v>
      </c>
      <c r="J50" s="28">
        <f>CEILING(22/'[1]Dollar Rate'!$J$26,1)</f>
        <v>17</v>
      </c>
      <c r="K50" s="28" t="s">
        <v>19</v>
      </c>
      <c r="L50" s="28">
        <f>CEILING(39/'[1]Dollar Rate'!$J$26,1)</f>
        <v>30</v>
      </c>
      <c r="M50" s="28">
        <f>CEILING(49/'[1]Dollar Rate'!$J$26,1)</f>
        <v>38</v>
      </c>
    </row>
    <row r="51" spans="1:13" ht="12.75">
      <c r="A51" s="33"/>
      <c r="B51" s="44"/>
      <c r="C51" s="54" t="s">
        <v>32</v>
      </c>
      <c r="D51" s="55">
        <v>38991</v>
      </c>
      <c r="E51" s="55">
        <v>39172</v>
      </c>
      <c r="F51" s="28">
        <f>CEILING(286/'[1]Dollar Rate'!$J$26,1)</f>
        <v>219</v>
      </c>
      <c r="G51" s="28">
        <f>CEILING(286/'[1]Dollar Rate'!$J$26,1)</f>
        <v>219</v>
      </c>
      <c r="H51" s="28" t="s">
        <v>27</v>
      </c>
      <c r="I51" s="28" t="s">
        <v>18</v>
      </c>
      <c r="J51" s="28">
        <f>CEILING(22/'[1]Dollar Rate'!$J$26,1)</f>
        <v>17</v>
      </c>
      <c r="K51" s="28" t="s">
        <v>19</v>
      </c>
      <c r="L51" s="28">
        <f>CEILING(39/'[1]Dollar Rate'!$J$26,1)</f>
        <v>30</v>
      </c>
      <c r="M51" s="28">
        <f>CEILING(49/'[1]Dollar Rate'!$J$26,1)</f>
        <v>38</v>
      </c>
    </row>
    <row r="52" spans="1:13" ht="12.75">
      <c r="A52" s="56"/>
      <c r="B52" s="57" t="s">
        <v>68</v>
      </c>
      <c r="C52" s="58" t="s">
        <v>17</v>
      </c>
      <c r="D52" s="59">
        <v>38991</v>
      </c>
      <c r="E52" s="59">
        <v>39172</v>
      </c>
      <c r="F52" s="28">
        <f>CEILING(209/'[1]Dollar Rate'!$J$26,1)</f>
        <v>160</v>
      </c>
      <c r="G52" s="28">
        <f>CEILING(209/'[1]Dollar Rate'!$J$26,1)</f>
        <v>160</v>
      </c>
      <c r="H52" s="28">
        <f>CEILING(90/'[1]Dollar Rate'!$J$26,1)</f>
        <v>69</v>
      </c>
      <c r="I52" s="28" t="s">
        <v>18</v>
      </c>
      <c r="J52" s="28">
        <f>CEILING(28/'[1]Dollar Rate'!$J$26,1)</f>
        <v>22</v>
      </c>
      <c r="K52" s="28" t="s">
        <v>19</v>
      </c>
      <c r="L52" s="28">
        <f>CEILING(49/'[1]Dollar Rate'!$J$26,1)</f>
        <v>38</v>
      </c>
      <c r="M52" s="28">
        <f>CEILING(59/'[1]Dollar Rate'!$J$26,1)</f>
        <v>46</v>
      </c>
    </row>
    <row r="53" spans="1:13" ht="12.75">
      <c r="A53" s="24"/>
      <c r="B53" s="39" t="s">
        <v>69</v>
      </c>
      <c r="C53" s="26" t="s">
        <v>17</v>
      </c>
      <c r="D53" s="27">
        <v>38991</v>
      </c>
      <c r="E53" s="27">
        <v>39172</v>
      </c>
      <c r="F53" s="28">
        <f>CEILING(215/'[1]Dollar Rate'!$J$26,1)</f>
        <v>165</v>
      </c>
      <c r="G53" s="28">
        <f>CEILING(215/'[1]Dollar Rate'!$J$26,1)</f>
        <v>165</v>
      </c>
      <c r="H53" s="28">
        <f>CEILING(94/'[1]Dollar Rate'!$J$26,1)</f>
        <v>72</v>
      </c>
      <c r="I53" s="28" t="s">
        <v>18</v>
      </c>
      <c r="J53" s="28">
        <f>CEILING(22/'[1]Dollar Rate'!$J$26,1)</f>
        <v>17</v>
      </c>
      <c r="K53" s="28" t="s">
        <v>19</v>
      </c>
      <c r="L53" s="28">
        <f>CEILING(39/'[1]Dollar Rate'!$J$26,1)</f>
        <v>30</v>
      </c>
      <c r="M53" s="28">
        <f>CEILING(49/'[1]Dollar Rate'!$J$26,1)</f>
        <v>38</v>
      </c>
    </row>
    <row r="54" spans="1:13" ht="12.75">
      <c r="A54" s="33"/>
      <c r="B54" s="44"/>
      <c r="C54" s="54" t="s">
        <v>70</v>
      </c>
      <c r="D54" s="55">
        <v>38991</v>
      </c>
      <c r="E54" s="55">
        <v>39172</v>
      </c>
      <c r="F54" s="28">
        <f>CEILING(233/'[1]Dollar Rate'!$J$26,1)</f>
        <v>178</v>
      </c>
      <c r="G54" s="28">
        <f>CEILING(233/'[1]Dollar Rate'!$J$26,1)</f>
        <v>178</v>
      </c>
      <c r="H54" s="28">
        <f>CEILING(94/'[1]Dollar Rate'!$J$26,1)</f>
        <v>72</v>
      </c>
      <c r="I54" s="28" t="s">
        <v>18</v>
      </c>
      <c r="J54" s="28">
        <f>CEILING(22/'[1]Dollar Rate'!$J$26,1)</f>
        <v>17</v>
      </c>
      <c r="K54" s="28" t="s">
        <v>19</v>
      </c>
      <c r="L54" s="28">
        <f>CEILING(39/'[1]Dollar Rate'!$J$26,1)</f>
        <v>30</v>
      </c>
      <c r="M54" s="28">
        <f>CEILING(49/'[1]Dollar Rate'!$J$26,1)</f>
        <v>38</v>
      </c>
    </row>
    <row r="55" spans="1:13" ht="12.75">
      <c r="A55" s="60"/>
      <c r="B55" s="57" t="s">
        <v>71</v>
      </c>
      <c r="C55" s="58" t="s">
        <v>17</v>
      </c>
      <c r="D55" s="59">
        <v>38991</v>
      </c>
      <c r="E55" s="59">
        <v>39172</v>
      </c>
      <c r="F55" s="28">
        <f>CEILING(258/'[1]Dollar Rate'!$J$26,1)</f>
        <v>197</v>
      </c>
      <c r="G55" s="28">
        <f>CEILING(258/'[1]Dollar Rate'!$J$26,1)</f>
        <v>197</v>
      </c>
      <c r="H55" s="28">
        <f>CEILING(103/'[1]Dollar Rate'!$J$26,1)</f>
        <v>79</v>
      </c>
      <c r="I55" s="28" t="s">
        <v>18</v>
      </c>
      <c r="J55" s="28">
        <f>CEILING(20/'[1]Dollar Rate'!$J$26,1)</f>
        <v>16</v>
      </c>
      <c r="K55" s="28" t="s">
        <v>19</v>
      </c>
      <c r="L55" s="28">
        <f>CEILING(36/'[1]Dollar Rate'!$J$26,1)</f>
        <v>28</v>
      </c>
      <c r="M55" s="28">
        <f>CEILING(43/'[1]Dollar Rate'!$J$26,1)</f>
        <v>33</v>
      </c>
    </row>
    <row r="56" ht="13.5" thickBot="1"/>
    <row r="57" spans="1:2" ht="13.5" thickTop="1">
      <c r="A57" s="22" t="s">
        <v>72</v>
      </c>
      <c r="B57" s="23"/>
    </row>
    <row r="58" spans="1:13" ht="12.75">
      <c r="A58" s="56"/>
      <c r="B58" s="57" t="s">
        <v>73</v>
      </c>
      <c r="C58" s="58" t="s">
        <v>56</v>
      </c>
      <c r="D58" s="59">
        <v>38991</v>
      </c>
      <c r="E58" s="59">
        <v>39172</v>
      </c>
      <c r="F58" s="37">
        <f>CEILING(168/'[1]Dollar Rate'!$J$26,1)</f>
        <v>129</v>
      </c>
      <c r="G58" s="37">
        <f>CEILING(168/'[1]Dollar Rate'!$J$26,1)</f>
        <v>129</v>
      </c>
      <c r="H58" s="37">
        <f>CEILING(76/'[1]Dollar Rate'!$J$26,1)</f>
        <v>59</v>
      </c>
      <c r="I58" s="37" t="s">
        <v>18</v>
      </c>
      <c r="J58" s="37">
        <f>CEILING(19/'[1]Dollar Rate'!$J$26,1)</f>
        <v>15</v>
      </c>
      <c r="K58" s="37" t="s">
        <v>19</v>
      </c>
      <c r="L58" s="37">
        <f>CEILING(34/'[1]Dollar Rate'!$J$26,1)</f>
        <v>26</v>
      </c>
      <c r="M58" s="37">
        <f>CEILING(34/'[1]Dollar Rate'!$J$26,1)</f>
        <v>26</v>
      </c>
    </row>
    <row r="59" spans="1:13" ht="12.75">
      <c r="A59" s="56"/>
      <c r="B59" s="57" t="s">
        <v>74</v>
      </c>
      <c r="C59" s="58" t="s">
        <v>56</v>
      </c>
      <c r="D59" s="59">
        <v>38991</v>
      </c>
      <c r="E59" s="59">
        <v>39172</v>
      </c>
      <c r="F59" s="28">
        <f>CEILING(162/'[1]Dollar Rate'!$J$26,1)</f>
        <v>124</v>
      </c>
      <c r="G59" s="28">
        <f>CEILING(162/'[1]Dollar Rate'!$J$26,1)</f>
        <v>124</v>
      </c>
      <c r="H59" s="28">
        <f>CEILING(87/'[1]Dollar Rate'!$J$26,1)</f>
        <v>67</v>
      </c>
      <c r="I59" s="28" t="s">
        <v>18</v>
      </c>
      <c r="J59" s="28">
        <f>CEILING(20/'[1]Dollar Rate'!$J$26,1)</f>
        <v>16</v>
      </c>
      <c r="K59" s="28" t="s">
        <v>19</v>
      </c>
      <c r="L59" s="28">
        <f>CEILING(36/'[1]Dollar Rate'!$J$26,1)</f>
        <v>28</v>
      </c>
      <c r="M59" s="28">
        <f>CEILING(40/'[1]Dollar Rate'!$J$26,1)</f>
        <v>31</v>
      </c>
    </row>
    <row r="60" spans="1:14" ht="12.75">
      <c r="A60" s="56"/>
      <c r="B60" s="57" t="s">
        <v>75</v>
      </c>
      <c r="C60" s="58" t="s">
        <v>56</v>
      </c>
      <c r="D60" s="59">
        <v>38991</v>
      </c>
      <c r="E60" s="59">
        <v>39172</v>
      </c>
      <c r="F60" s="37">
        <f>CEILING(183/'[1]Dollar Rate'!$J$26,1)</f>
        <v>140</v>
      </c>
      <c r="G60" s="37">
        <f>CEILING(183/'[1]Dollar Rate'!$J$26,1)</f>
        <v>140</v>
      </c>
      <c r="H60" s="37">
        <f>CEILING(86/'[1]Dollar Rate'!$J$26,1)</f>
        <v>66</v>
      </c>
      <c r="I60" s="37" t="s">
        <v>18</v>
      </c>
      <c r="J60" s="37" t="s">
        <v>23</v>
      </c>
      <c r="K60" s="37" t="s">
        <v>19</v>
      </c>
      <c r="L60" s="37" t="s">
        <v>23</v>
      </c>
      <c r="M60" s="37" t="s">
        <v>23</v>
      </c>
      <c r="N60" s="42" t="s">
        <v>23</v>
      </c>
    </row>
    <row r="61" spans="1:13" ht="12.75">
      <c r="A61" s="60"/>
      <c r="B61" s="57" t="s">
        <v>76</v>
      </c>
      <c r="C61" s="58" t="s">
        <v>56</v>
      </c>
      <c r="D61" s="59">
        <v>38991</v>
      </c>
      <c r="E61" s="59">
        <v>39172</v>
      </c>
      <c r="F61" s="28">
        <f>CEILING(150/'[1]Dollar Rate'!$J$26,1)</f>
        <v>115</v>
      </c>
      <c r="G61" s="28">
        <f>CEILING(150/'[1]Dollar Rate'!$J$26,1)</f>
        <v>115</v>
      </c>
      <c r="H61" s="28">
        <f>CEILING(67/'[1]Dollar Rate'!$J$26,1)</f>
        <v>52</v>
      </c>
      <c r="I61" s="28" t="s">
        <v>18</v>
      </c>
      <c r="J61" s="28">
        <f>CEILING(19/'[1]Dollar Rate'!$J$26,1)</f>
        <v>15</v>
      </c>
      <c r="K61" s="28" t="s">
        <v>19</v>
      </c>
      <c r="L61" s="28">
        <f>CEILING(34/'[1]Dollar Rate'!$J$26,1)</f>
        <v>26</v>
      </c>
      <c r="M61" s="28">
        <f>CEILING(42/'[1]Dollar Rate'!$J$26,1)</f>
        <v>33</v>
      </c>
    </row>
    <row r="62" spans="1:13" ht="12.75">
      <c r="A62" s="56"/>
      <c r="B62" s="57" t="s">
        <v>77</v>
      </c>
      <c r="C62" s="58" t="s">
        <v>17</v>
      </c>
      <c r="D62" s="59">
        <v>38991</v>
      </c>
      <c r="E62" s="59">
        <v>39172</v>
      </c>
      <c r="F62" s="37">
        <f>CEILING(143/'[1]Dollar Rate'!$J$26,1)</f>
        <v>110</v>
      </c>
      <c r="G62" s="37">
        <f>CEILING(143/'[1]Dollar Rate'!$J$26,1)</f>
        <v>110</v>
      </c>
      <c r="H62" s="37">
        <f>CEILING(71/'[1]Dollar Rate'!$J$26,1)</f>
        <v>55</v>
      </c>
      <c r="I62" s="37" t="s">
        <v>18</v>
      </c>
      <c r="J62" s="37">
        <f>CEILING(18/'[1]Dollar Rate'!$J$26,1)</f>
        <v>14</v>
      </c>
      <c r="K62" s="37" t="s">
        <v>19</v>
      </c>
      <c r="L62" s="37">
        <f>CEILING(32/'[1]Dollar Rate'!$J$26,1)</f>
        <v>25</v>
      </c>
      <c r="M62" s="37">
        <f>CEILING(42/'[1]Dollar Rate'!$J$26,1)</f>
        <v>33</v>
      </c>
    </row>
    <row r="63" spans="1:13" ht="12.75">
      <c r="A63" s="56"/>
      <c r="B63" s="57" t="s">
        <v>78</v>
      </c>
      <c r="C63" s="58" t="s">
        <v>56</v>
      </c>
      <c r="D63" s="59">
        <v>38991</v>
      </c>
      <c r="E63" s="59">
        <v>39172</v>
      </c>
      <c r="F63" s="37">
        <f>CEILING(168/'[1]Dollar Rate'!$J$26,1)</f>
        <v>129</v>
      </c>
      <c r="G63" s="37">
        <f>CEILING(168/'[1]Dollar Rate'!$J$26,1)</f>
        <v>129</v>
      </c>
      <c r="H63" s="37">
        <f>CEILING(81/'[1]Dollar Rate'!$J$26,1)</f>
        <v>62</v>
      </c>
      <c r="I63" s="37" t="s">
        <v>18</v>
      </c>
      <c r="J63" s="37">
        <f>CEILING(22/'[1]Dollar Rate'!$J$26,1)</f>
        <v>17</v>
      </c>
      <c r="K63" s="37" t="s">
        <v>19</v>
      </c>
      <c r="L63" s="37">
        <f>CEILING(39/'[1]Dollar Rate'!$J$26,1)</f>
        <v>30</v>
      </c>
      <c r="M63" s="37">
        <f>CEILING(49/'[1]Dollar Rate'!$J$26,1)</f>
        <v>38</v>
      </c>
    </row>
    <row r="64" spans="1:13" ht="12.75">
      <c r="A64" s="56"/>
      <c r="B64" s="57" t="s">
        <v>79</v>
      </c>
      <c r="C64" s="58" t="s">
        <v>56</v>
      </c>
      <c r="D64" s="59">
        <v>38991</v>
      </c>
      <c r="E64" s="59">
        <v>39172</v>
      </c>
      <c r="F64" s="37">
        <f>CEILING(168/'[1]Dollar Rate'!$J$26,1)</f>
        <v>129</v>
      </c>
      <c r="G64" s="37">
        <f>CEILING(168/'[1]Dollar Rate'!$J$26,1)</f>
        <v>129</v>
      </c>
      <c r="H64" s="37">
        <f>CEILING(66/'[1]Dollar Rate'!$J$26,1)</f>
        <v>51</v>
      </c>
      <c r="I64" s="37" t="s">
        <v>18</v>
      </c>
      <c r="J64" s="37">
        <f>CEILING(16/'[1]Dollar Rate'!$J$26,1)</f>
        <v>13</v>
      </c>
      <c r="K64" s="37" t="s">
        <v>19</v>
      </c>
      <c r="L64" s="37">
        <f>CEILING(29/'[1]Dollar Rate'!$J$26,1)</f>
        <v>23</v>
      </c>
      <c r="M64" s="37">
        <f>CEILING(34/'[1]Dollar Rate'!$J$26,1)</f>
        <v>26</v>
      </c>
    </row>
    <row r="65" spans="1:13" ht="12.75">
      <c r="A65" s="56"/>
      <c r="B65" s="57" t="s">
        <v>80</v>
      </c>
      <c r="C65" s="58" t="s">
        <v>56</v>
      </c>
      <c r="D65" s="59">
        <v>38991</v>
      </c>
      <c r="E65" s="59">
        <v>39172</v>
      </c>
      <c r="F65" s="37">
        <f>CEILING(163/'[1]Dollar Rate'!$J$26,1)</f>
        <v>125</v>
      </c>
      <c r="G65" s="37">
        <f>CEILING(163/'[1]Dollar Rate'!$J$26,1)</f>
        <v>125</v>
      </c>
      <c r="H65" s="37">
        <f>CEILING(66/'[1]Dollar Rate'!$J$26,1)</f>
        <v>51</v>
      </c>
      <c r="I65" s="37" t="s">
        <v>18</v>
      </c>
      <c r="J65" s="37">
        <f>CEILING(16/'[1]Dollar Rate'!$J$26,1)</f>
        <v>13</v>
      </c>
      <c r="K65" s="37" t="s">
        <v>19</v>
      </c>
      <c r="L65" s="37">
        <f>CEILING(29/'[1]Dollar Rate'!$J$26,1)</f>
        <v>23</v>
      </c>
      <c r="M65" s="37">
        <f>CEILING(34/'[1]Dollar Rate'!$J$26,1)</f>
        <v>26</v>
      </c>
    </row>
    <row r="66" spans="1:13" ht="12.75">
      <c r="A66" s="38"/>
      <c r="B66" s="39" t="s">
        <v>81</v>
      </c>
      <c r="C66" s="26" t="s">
        <v>17</v>
      </c>
      <c r="D66" s="27">
        <v>38991</v>
      </c>
      <c r="E66" s="27">
        <v>39172</v>
      </c>
      <c r="F66" s="37">
        <f>CEILING(188/'[1]Dollar Rate'!$J$26,1)</f>
        <v>144</v>
      </c>
      <c r="G66" s="37">
        <f>CEILING(188/'[1]Dollar Rate'!$J$26,1)</f>
        <v>144</v>
      </c>
      <c r="H66" s="37" t="s">
        <v>27</v>
      </c>
      <c r="I66" s="37" t="s">
        <v>18</v>
      </c>
      <c r="J66" s="37">
        <f>CEILING(22/'[1]Dollar Rate'!$J$26,1)</f>
        <v>17</v>
      </c>
      <c r="K66" s="37" t="s">
        <v>19</v>
      </c>
      <c r="L66" s="37">
        <f>CEILING(39/'[1]Dollar Rate'!$J$26,1)</f>
        <v>30</v>
      </c>
      <c r="M66" s="37">
        <f>CEILING(44/'[1]Dollar Rate'!$J$26,1)</f>
        <v>34</v>
      </c>
    </row>
    <row r="67" spans="1:13" ht="12.75">
      <c r="A67" s="43"/>
      <c r="B67" s="44"/>
      <c r="C67" s="54" t="s">
        <v>32</v>
      </c>
      <c r="D67" s="55">
        <v>38991</v>
      </c>
      <c r="E67" s="55">
        <v>39172</v>
      </c>
      <c r="F67" s="37">
        <f>CEILING(208/'[1]Dollar Rate'!$J$26,1)</f>
        <v>159</v>
      </c>
      <c r="G67" s="37">
        <f>CEILING(208/'[1]Dollar Rate'!$J$26,1)</f>
        <v>159</v>
      </c>
      <c r="H67" s="37">
        <f>CEILING(91/'[1]Dollar Rate'!$J$26,1)</f>
        <v>70</v>
      </c>
      <c r="I67" s="37" t="s">
        <v>18</v>
      </c>
      <c r="J67" s="37">
        <f>CEILING(22/'[1]Dollar Rate'!$J$26,1)</f>
        <v>17</v>
      </c>
      <c r="K67" s="37" t="s">
        <v>19</v>
      </c>
      <c r="L67" s="37">
        <f>CEILING(39/'[1]Dollar Rate'!$J$26,1)</f>
        <v>30</v>
      </c>
      <c r="M67" s="37">
        <f>CEILING(44/'[1]Dollar Rate'!$J$26,1)</f>
        <v>34</v>
      </c>
    </row>
    <row r="68" spans="1:13" ht="12.75">
      <c r="A68" s="56"/>
      <c r="B68" s="57" t="s">
        <v>82</v>
      </c>
      <c r="C68" s="58" t="s">
        <v>56</v>
      </c>
      <c r="D68" s="59">
        <v>38991</v>
      </c>
      <c r="E68" s="59">
        <v>39172</v>
      </c>
      <c r="F68" s="28">
        <f>CEILING(169/'[1]Dollar Rate'!$J$26,1)</f>
        <v>130</v>
      </c>
      <c r="G68" s="28">
        <f>CEILING(169/'[1]Dollar Rate'!$J$26,1)</f>
        <v>130</v>
      </c>
      <c r="H68" s="28" t="s">
        <v>27</v>
      </c>
      <c r="I68" s="28" t="s">
        <v>18</v>
      </c>
      <c r="J68" s="28">
        <f>CEILING(17/'[1]Dollar Rate'!$J$26,1)</f>
        <v>13</v>
      </c>
      <c r="K68" s="28" t="s">
        <v>19</v>
      </c>
      <c r="L68" s="28">
        <f>CEILING(31/'[1]Dollar Rate'!$J$26,1)</f>
        <v>24</v>
      </c>
      <c r="M68" s="28">
        <f>CEILING(38/'[1]Dollar Rate'!$J$26,1)</f>
        <v>30</v>
      </c>
    </row>
    <row r="69" spans="1:13" ht="12.75">
      <c r="A69" s="38"/>
      <c r="B69" s="39" t="s">
        <v>83</v>
      </c>
      <c r="C69" s="26" t="s">
        <v>84</v>
      </c>
      <c r="D69" s="27">
        <v>38991</v>
      </c>
      <c r="E69" s="27">
        <v>39172</v>
      </c>
      <c r="F69" s="37">
        <f>CEILING(178/'[1]Dollar Rate'!$J$26,1)</f>
        <v>136</v>
      </c>
      <c r="G69" s="37">
        <f>CEILING(178/'[1]Dollar Rate'!$J$26,1)</f>
        <v>136</v>
      </c>
      <c r="H69" s="28" t="s">
        <v>27</v>
      </c>
      <c r="I69" s="28" t="s">
        <v>18</v>
      </c>
      <c r="J69" s="37">
        <f>CEILING(18/'[1]Dollar Rate'!$J$26,1)</f>
        <v>14</v>
      </c>
      <c r="K69" s="28" t="s">
        <v>19</v>
      </c>
      <c r="L69" s="37">
        <f>CEILING(32/'[1]Dollar Rate'!$J$26,1)</f>
        <v>25</v>
      </c>
      <c r="M69" s="37">
        <f>CEILING(36/'[1]Dollar Rate'!$J$26,1)</f>
        <v>28</v>
      </c>
    </row>
    <row r="70" spans="1:13" ht="12.75">
      <c r="A70" s="43"/>
      <c r="B70" s="44"/>
      <c r="C70" s="54" t="s">
        <v>85</v>
      </c>
      <c r="D70" s="55">
        <v>38991</v>
      </c>
      <c r="E70" s="55">
        <v>39172</v>
      </c>
      <c r="F70" s="37">
        <f>CEILING(203/'[1]Dollar Rate'!$J$26,1)</f>
        <v>155</v>
      </c>
      <c r="G70" s="37">
        <f>CEILING(203/'[1]Dollar Rate'!$J$26,1)</f>
        <v>155</v>
      </c>
      <c r="H70" s="37">
        <f>CEILING(71/'[1]Dollar Rate'!$J$26,1)</f>
        <v>55</v>
      </c>
      <c r="I70" s="28" t="s">
        <v>18</v>
      </c>
      <c r="J70" s="37">
        <f>CEILING(18/'[1]Dollar Rate'!$J$26,1)</f>
        <v>14</v>
      </c>
      <c r="K70" s="28" t="s">
        <v>19</v>
      </c>
      <c r="L70" s="37">
        <f>CEILING(32/'[1]Dollar Rate'!$J$26,1)</f>
        <v>25</v>
      </c>
      <c r="M70" s="37">
        <f>CEILING(36/'[1]Dollar Rate'!$J$26,1)</f>
        <v>28</v>
      </c>
    </row>
    <row r="71" spans="1:13" ht="12.75">
      <c r="A71" s="56"/>
      <c r="B71" s="57" t="s">
        <v>86</v>
      </c>
      <c r="C71" s="58" t="s">
        <v>56</v>
      </c>
      <c r="D71" s="59">
        <v>38991</v>
      </c>
      <c r="E71" s="59">
        <v>39172</v>
      </c>
      <c r="F71" s="37">
        <f>CEILING(168/'[1]Dollar Rate'!$J$26,1)</f>
        <v>129</v>
      </c>
      <c r="G71" s="37">
        <f>CEILING(168/'[1]Dollar Rate'!$J$26,1)</f>
        <v>129</v>
      </c>
      <c r="H71" s="37">
        <f>CEILING(71/'[1]Dollar Rate'!$J$26,1)</f>
        <v>55</v>
      </c>
      <c r="I71" s="28" t="s">
        <v>18</v>
      </c>
      <c r="J71" s="37">
        <f>CEILING(16/'[1]Dollar Rate'!$J$26,1)</f>
        <v>13</v>
      </c>
      <c r="K71" s="28" t="s">
        <v>19</v>
      </c>
      <c r="L71" s="37">
        <f>CEILING(28/'[1]Dollar Rate'!$J$26,1)</f>
        <v>22</v>
      </c>
      <c r="M71" s="37">
        <f>CEILING(38/'[1]Dollar Rate'!$J$26,1)</f>
        <v>30</v>
      </c>
    </row>
    <row r="72" spans="1:13" ht="12.75">
      <c r="A72" s="60"/>
      <c r="B72" s="57" t="s">
        <v>87</v>
      </c>
      <c r="C72" s="58" t="s">
        <v>56</v>
      </c>
      <c r="D72" s="59">
        <v>38991</v>
      </c>
      <c r="E72" s="59">
        <v>39172</v>
      </c>
      <c r="F72" s="28">
        <f>CEILING(177/'[1]Dollar Rate'!$J$26,1)</f>
        <v>136</v>
      </c>
      <c r="G72" s="28">
        <f>CEILING(177/'[1]Dollar Rate'!$J$26,1)</f>
        <v>136</v>
      </c>
      <c r="H72" s="28">
        <f>CEILING(84/'[1]Dollar Rate'!$J$26,1)</f>
        <v>65</v>
      </c>
      <c r="I72" s="28" t="s">
        <v>18</v>
      </c>
      <c r="J72" s="28" t="s">
        <v>23</v>
      </c>
      <c r="K72" s="28" t="s">
        <v>19</v>
      </c>
      <c r="L72" s="28" t="s">
        <v>23</v>
      </c>
      <c r="M72" s="28" t="s">
        <v>23</v>
      </c>
    </row>
    <row r="73" spans="1:13" ht="12.75">
      <c r="A73" s="56"/>
      <c r="B73" s="57" t="s">
        <v>88</v>
      </c>
      <c r="C73" s="58" t="s">
        <v>56</v>
      </c>
      <c r="D73" s="59">
        <v>38991</v>
      </c>
      <c r="E73" s="59">
        <v>39172</v>
      </c>
      <c r="F73" s="37">
        <f>CEILING(188/'[1]Dollar Rate'!$J$26,1)</f>
        <v>144</v>
      </c>
      <c r="G73" s="37">
        <f>CEILING(188/'[1]Dollar Rate'!$J$26,1)</f>
        <v>144</v>
      </c>
      <c r="H73" s="37">
        <f>CEILING(86/'[1]Dollar Rate'!$J$26,1)</f>
        <v>66</v>
      </c>
      <c r="I73" s="28" t="s">
        <v>18</v>
      </c>
      <c r="J73" s="28" t="s">
        <v>23</v>
      </c>
      <c r="K73" s="28" t="s">
        <v>19</v>
      </c>
      <c r="L73" s="28" t="s">
        <v>23</v>
      </c>
      <c r="M73" s="28" t="s">
        <v>23</v>
      </c>
    </row>
    <row r="74" spans="1:13" ht="12.75">
      <c r="A74" s="56"/>
      <c r="B74" s="57" t="s">
        <v>89</v>
      </c>
      <c r="C74" s="58" t="s">
        <v>56</v>
      </c>
      <c r="D74" s="59">
        <v>38991</v>
      </c>
      <c r="E74" s="59">
        <v>39172</v>
      </c>
      <c r="F74" s="28">
        <f>CEILING(144/'[1]Dollar Rate'!$J$26,1)</f>
        <v>110</v>
      </c>
      <c r="G74" s="28">
        <f>CEILING(144/'[1]Dollar Rate'!$J$26,1)</f>
        <v>110</v>
      </c>
      <c r="H74" s="28">
        <f>CEILING(65/'[1]Dollar Rate'!$J$26,1)</f>
        <v>50</v>
      </c>
      <c r="I74" s="28" t="s">
        <v>18</v>
      </c>
      <c r="J74" s="28">
        <f>CEILING(17/'[1]Dollar Rate'!$J$26,1)</f>
        <v>13</v>
      </c>
      <c r="K74" s="28" t="s">
        <v>19</v>
      </c>
      <c r="L74" s="28">
        <f>CEILING(30/'[1]Dollar Rate'!$J$26,1)</f>
        <v>23</v>
      </c>
      <c r="M74" s="28">
        <f>CEILING(32/'[1]Dollar Rate'!$J$26,1)</f>
        <v>25</v>
      </c>
    </row>
    <row r="75" spans="1:13" ht="12.75">
      <c r="A75" s="56"/>
      <c r="B75" s="57" t="s">
        <v>90</v>
      </c>
      <c r="C75" s="58" t="s">
        <v>56</v>
      </c>
      <c r="D75" s="59">
        <v>38991</v>
      </c>
      <c r="E75" s="59">
        <v>39172</v>
      </c>
      <c r="F75" s="37">
        <f>CEILING(168/'[1]Dollar Rate'!$J$26,1)</f>
        <v>129</v>
      </c>
      <c r="G75" s="37">
        <f>CEILING(168/'[1]Dollar Rate'!$J$26,1)</f>
        <v>129</v>
      </c>
      <c r="H75" s="37" t="s">
        <v>27</v>
      </c>
      <c r="I75" s="37" t="s">
        <v>18</v>
      </c>
      <c r="J75" s="37">
        <f>CEILING(15/'[1]Dollar Rate'!$J$26,1)</f>
        <v>12</v>
      </c>
      <c r="K75" s="28" t="s">
        <v>19</v>
      </c>
      <c r="L75" s="37">
        <f>CEILING(27/'[1]Dollar Rate'!$J$26,1)</f>
        <v>21</v>
      </c>
      <c r="M75" s="37">
        <f>CEILING(32/'[1]Dollar Rate'!$J$26,1)</f>
        <v>25</v>
      </c>
    </row>
    <row r="76" spans="1:13" ht="12.75">
      <c r="A76" s="56"/>
      <c r="B76" s="57" t="s">
        <v>91</v>
      </c>
      <c r="C76" s="58" t="s">
        <v>56</v>
      </c>
      <c r="D76" s="59">
        <v>38991</v>
      </c>
      <c r="E76" s="59">
        <v>39172</v>
      </c>
      <c r="F76" s="28">
        <f>CEILING(174/'[1]Dollar Rate'!$J$26,1)</f>
        <v>133</v>
      </c>
      <c r="G76" s="28">
        <f>CEILING(174/'[1]Dollar Rate'!$J$26,1)</f>
        <v>133</v>
      </c>
      <c r="H76" s="28">
        <f>CEILING(77/'[1]Dollar Rate'!$J$26,1)</f>
        <v>59</v>
      </c>
      <c r="I76" s="28" t="s">
        <v>18</v>
      </c>
      <c r="J76" s="28">
        <f>CEILING(16/'[1]Dollar Rate'!$J$26,1)</f>
        <v>13</v>
      </c>
      <c r="K76" s="28" t="s">
        <v>19</v>
      </c>
      <c r="L76" s="28">
        <f>CEILING(29/'[1]Dollar Rate'!$J$26,1)</f>
        <v>23</v>
      </c>
      <c r="M76" s="28">
        <f>CEILING(34/'[1]Dollar Rate'!$J$26,1)</f>
        <v>26</v>
      </c>
    </row>
    <row r="77" spans="1:13" ht="12.75">
      <c r="A77" s="56"/>
      <c r="B77" s="57" t="s">
        <v>92</v>
      </c>
      <c r="C77" s="58" t="s">
        <v>56</v>
      </c>
      <c r="D77" s="59">
        <v>38991</v>
      </c>
      <c r="E77" s="59">
        <v>39172</v>
      </c>
      <c r="F77" s="37">
        <f>CEILING(208/'[1]Dollar Rate'!$J$26,1)</f>
        <v>159</v>
      </c>
      <c r="G77" s="37">
        <f>CEILING(208/'[1]Dollar Rate'!$J$26,1)</f>
        <v>159</v>
      </c>
      <c r="H77" s="37" t="s">
        <v>27</v>
      </c>
      <c r="I77" s="28" t="s">
        <v>18</v>
      </c>
      <c r="J77" s="37">
        <f>CEILING(21/'[1]Dollar Rate'!$J$26,1)</f>
        <v>17</v>
      </c>
      <c r="K77" s="37" t="s">
        <v>19</v>
      </c>
      <c r="L77" s="37">
        <f>CEILING(37/'[1]Dollar Rate'!$J$26,1)</f>
        <v>29</v>
      </c>
      <c r="M77" s="37">
        <f>CEILING(53/'[1]Dollar Rate'!$J$26,1)</f>
        <v>41</v>
      </c>
    </row>
    <row r="78" spans="1:13" ht="13.5" thickBot="1">
      <c r="A78" s="60"/>
      <c r="B78" s="57" t="s">
        <v>93</v>
      </c>
      <c r="C78" s="58" t="s">
        <v>56</v>
      </c>
      <c r="D78" s="59">
        <v>38991</v>
      </c>
      <c r="E78" s="59">
        <v>39172</v>
      </c>
      <c r="F78" s="28">
        <f>CEILING(160/'[1]Dollar Rate'!$J$26,1)</f>
        <v>123</v>
      </c>
      <c r="G78" s="28">
        <f>CEILING(160/'[1]Dollar Rate'!$J$26,1)</f>
        <v>123</v>
      </c>
      <c r="H78" s="28">
        <f>CEILING(78/'[1]Dollar Rate'!$J$26,1)</f>
        <v>60</v>
      </c>
      <c r="I78" s="28" t="s">
        <v>18</v>
      </c>
      <c r="J78" s="28">
        <f>CEILING(19/'[1]Dollar Rate'!$J$26,1)</f>
        <v>15</v>
      </c>
      <c r="K78" s="28" t="s">
        <v>19</v>
      </c>
      <c r="L78" s="28">
        <f>CEILING(33/'[1]Dollar Rate'!$J$26,1)</f>
        <v>26</v>
      </c>
      <c r="M78" s="28">
        <f>CEILING(37/'[1]Dollar Rate'!$J$26,1)</f>
        <v>29</v>
      </c>
    </row>
    <row r="79" spans="1:13" s="63" customFormat="1" ht="13.5" thickTop="1">
      <c r="A79" s="22" t="s">
        <v>94</v>
      </c>
      <c r="B79" s="2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s="63" customFormat="1" ht="12.75">
      <c r="A80" s="56"/>
      <c r="B80" s="57" t="s">
        <v>95</v>
      </c>
      <c r="C80" s="58" t="s">
        <v>56</v>
      </c>
      <c r="D80" s="59">
        <v>38991</v>
      </c>
      <c r="E80" s="59">
        <v>39172</v>
      </c>
      <c r="F80" s="28">
        <f>CEILING(124/'[1]Dollar Rate'!$J$26,1)</f>
        <v>95</v>
      </c>
      <c r="G80" s="28">
        <f>CEILING(124/'[1]Dollar Rate'!$J$26,1)</f>
        <v>95</v>
      </c>
      <c r="H80" s="28">
        <f>CEILING(62/'[1]Dollar Rate'!$J$26,1)</f>
        <v>48</v>
      </c>
      <c r="I80" s="28" t="s">
        <v>18</v>
      </c>
      <c r="J80" s="28">
        <f>CEILING(22/'[1]Dollar Rate'!$J$26,1)</f>
        <v>17</v>
      </c>
      <c r="K80" s="28" t="s">
        <v>19</v>
      </c>
      <c r="L80" s="28">
        <f>CEILING(39/'[1]Dollar Rate'!$J$26,1)</f>
        <v>30</v>
      </c>
      <c r="M80" s="28">
        <f>CEILING(44/'[1]Dollar Rate'!$J$26,1)</f>
        <v>34</v>
      </c>
    </row>
    <row r="81" spans="1:13" s="63" customFormat="1" ht="12.75">
      <c r="A81" s="38"/>
      <c r="B81" s="39" t="s">
        <v>96</v>
      </c>
      <c r="C81" s="26" t="s">
        <v>56</v>
      </c>
      <c r="D81" s="27">
        <v>38991</v>
      </c>
      <c r="E81" s="27">
        <v>39172</v>
      </c>
      <c r="F81" s="28">
        <f>CEILING(127/'[1]Dollar Rate'!$J$26,1)</f>
        <v>97</v>
      </c>
      <c r="G81" s="28">
        <f>CEILING(127/'[1]Dollar Rate'!$J$26,1)</f>
        <v>97</v>
      </c>
      <c r="H81" s="28">
        <f>CEILING(58/'[1]Dollar Rate'!$J$26,1)</f>
        <v>45</v>
      </c>
      <c r="I81" s="28" t="s">
        <v>18</v>
      </c>
      <c r="J81" s="28">
        <f>CEILING(12/'[1]Dollar Rate'!$J$26,1)</f>
        <v>10</v>
      </c>
      <c r="K81" s="28" t="s">
        <v>19</v>
      </c>
      <c r="L81" s="28">
        <f>CEILING(22/'[1]Dollar Rate'!$J$26,1)</f>
        <v>17</v>
      </c>
      <c r="M81" s="28">
        <f>CEILING(29/'[1]Dollar Rate'!$J$26,1)</f>
        <v>23</v>
      </c>
    </row>
    <row r="82" spans="1:13" s="63" customFormat="1" ht="12.75">
      <c r="A82" s="43"/>
      <c r="B82" s="44"/>
      <c r="C82" s="54" t="s">
        <v>26</v>
      </c>
      <c r="D82" s="55">
        <v>38991</v>
      </c>
      <c r="E82" s="55">
        <v>39172</v>
      </c>
      <c r="F82" s="28">
        <f>CEILING(142/'[1]Dollar Rate'!$J$26,1)</f>
        <v>109</v>
      </c>
      <c r="G82" s="28">
        <f>CEILING(142/'[1]Dollar Rate'!$J$26,1)</f>
        <v>109</v>
      </c>
      <c r="H82" s="28">
        <f>CEILING(54/'[1]Dollar Rate'!$J$26,1)</f>
        <v>42</v>
      </c>
      <c r="I82" s="28" t="s">
        <v>18</v>
      </c>
      <c r="J82" s="28">
        <f>CEILING(12/'[1]Dollar Rate'!$J$26,1)</f>
        <v>10</v>
      </c>
      <c r="K82" s="28" t="s">
        <v>19</v>
      </c>
      <c r="L82" s="28">
        <f>CEILING(22/'[1]Dollar Rate'!$J$26,1)</f>
        <v>17</v>
      </c>
      <c r="M82" s="28">
        <f>CEILING(29/'[1]Dollar Rate'!$J$26,1)</f>
        <v>23</v>
      </c>
    </row>
    <row r="83" spans="1:13" s="63" customFormat="1" ht="12.75">
      <c r="A83" s="38"/>
      <c r="B83" s="39" t="s">
        <v>97</v>
      </c>
      <c r="C83" s="26" t="s">
        <v>98</v>
      </c>
      <c r="D83" s="27">
        <v>38991</v>
      </c>
      <c r="E83" s="27">
        <v>39172</v>
      </c>
      <c r="F83" s="37">
        <f>CEILING(138/'[1]Dollar Rate'!$J$26,1)</f>
        <v>106</v>
      </c>
      <c r="G83" s="37">
        <f>CEILING(138/'[1]Dollar Rate'!$J$26,1)</f>
        <v>106</v>
      </c>
      <c r="H83" s="37">
        <f>CEILING(66/'[1]Dollar Rate'!$J$26,1)</f>
        <v>51</v>
      </c>
      <c r="I83" s="37" t="s">
        <v>18</v>
      </c>
      <c r="J83" s="37">
        <f>CEILING(20/'[1]Dollar Rate'!$J$26,1)</f>
        <v>16</v>
      </c>
      <c r="K83" s="37">
        <f>CEILING(22/'[1]Dollar Rate'!$J$26,1)</f>
        <v>17</v>
      </c>
      <c r="L83" s="37" t="s">
        <v>23</v>
      </c>
      <c r="M83" s="37" t="s">
        <v>23</v>
      </c>
    </row>
    <row r="84" spans="1:13" s="63" customFormat="1" ht="12.75">
      <c r="A84" s="43"/>
      <c r="B84" s="44"/>
      <c r="C84" s="54" t="s">
        <v>17</v>
      </c>
      <c r="D84" s="55">
        <v>38991</v>
      </c>
      <c r="E84" s="55">
        <v>39172</v>
      </c>
      <c r="F84" s="37">
        <f>CEILING(158/'[1]Dollar Rate'!$J$26,1)</f>
        <v>121</v>
      </c>
      <c r="G84" s="37">
        <f>CEILING(158/'[1]Dollar Rate'!$J$26,1)</f>
        <v>121</v>
      </c>
      <c r="H84" s="37">
        <f>CEILING(66/'[1]Dollar Rate'!$J$26,1)</f>
        <v>51</v>
      </c>
      <c r="I84" s="37" t="s">
        <v>18</v>
      </c>
      <c r="J84" s="37">
        <f>CEILING(20/'[1]Dollar Rate'!$J$26,1)</f>
        <v>16</v>
      </c>
      <c r="K84" s="37">
        <f>CEILING(22/'[1]Dollar Rate'!$J$26,1)</f>
        <v>17</v>
      </c>
      <c r="L84" s="37" t="s">
        <v>23</v>
      </c>
      <c r="M84" s="37" t="s">
        <v>23</v>
      </c>
    </row>
    <row r="85" spans="1:13" s="63" customFormat="1" ht="12.75">
      <c r="A85" s="56"/>
      <c r="B85" s="57" t="s">
        <v>99</v>
      </c>
      <c r="C85" s="58" t="s">
        <v>56</v>
      </c>
      <c r="D85" s="59">
        <v>38991</v>
      </c>
      <c r="E85" s="59">
        <v>39172</v>
      </c>
      <c r="F85" s="37">
        <f>CEILING(135/'[1]Dollar Rate'!$J$26,1)</f>
        <v>104</v>
      </c>
      <c r="G85" s="37">
        <f>CEILING(135/'[1]Dollar Rate'!$J$26,1)</f>
        <v>104</v>
      </c>
      <c r="H85" s="37">
        <f>CEILING(63/'[1]Dollar Rate'!$J$26,1)</f>
        <v>49</v>
      </c>
      <c r="I85" s="37" t="s">
        <v>18</v>
      </c>
      <c r="J85" s="37">
        <f>CEILING(11/'[1]Dollar Rate'!$J$26,1)</f>
        <v>9</v>
      </c>
      <c r="K85" s="37" t="s">
        <v>19</v>
      </c>
      <c r="L85" s="37">
        <f>CEILING(20/'[1]Dollar Rate'!$J$26,1)</f>
        <v>16</v>
      </c>
      <c r="M85" s="37">
        <f>CEILING(22/'[1]Dollar Rate'!$J$26,1)</f>
        <v>17</v>
      </c>
    </row>
    <row r="86" spans="1:13" s="63" customFormat="1" ht="12.75">
      <c r="A86" s="56"/>
      <c r="B86" s="57" t="s">
        <v>100</v>
      </c>
      <c r="C86" s="58" t="s">
        <v>56</v>
      </c>
      <c r="D86" s="59">
        <v>38991</v>
      </c>
      <c r="E86" s="59">
        <v>39172</v>
      </c>
      <c r="F86" s="37">
        <f>CEILING(153/'[1]Dollar Rate'!$J$26,1)</f>
        <v>117</v>
      </c>
      <c r="G86" s="37">
        <f>CEILING(153/'[1]Dollar Rate'!$J$26,1)</f>
        <v>117</v>
      </c>
      <c r="H86" s="37">
        <f>CEILING(81/'[1]Dollar Rate'!$J$26,1)</f>
        <v>62</v>
      </c>
      <c r="I86" s="37" t="s">
        <v>18</v>
      </c>
      <c r="J86" s="37">
        <f>CEILING(15/'[1]Dollar Rate'!$J$26,1)</f>
        <v>12</v>
      </c>
      <c r="K86" s="37" t="s">
        <v>19</v>
      </c>
      <c r="L86" s="37">
        <f>CEILING(27/'[1]Dollar Rate'!$J$26,1)</f>
        <v>21</v>
      </c>
      <c r="M86" s="37">
        <f>CEILING(30/'[1]Dollar Rate'!$J$26,1)</f>
        <v>23</v>
      </c>
    </row>
    <row r="87" spans="1:13" s="63" customFormat="1" ht="12.75">
      <c r="A87" s="56"/>
      <c r="B87" s="57" t="s">
        <v>101</v>
      </c>
      <c r="C87" s="58" t="s">
        <v>56</v>
      </c>
      <c r="D87" s="59">
        <v>38991</v>
      </c>
      <c r="E87" s="59">
        <v>39172</v>
      </c>
      <c r="F87" s="37">
        <f>CEILING(123/'[1]Dollar Rate'!$J$26,1)</f>
        <v>94</v>
      </c>
      <c r="G87" s="37">
        <f>CEILING(123/'[1]Dollar Rate'!$J$26,1)</f>
        <v>94</v>
      </c>
      <c r="H87" s="37">
        <f>CEILING(116/'[1]Dollar Rate'!$J$26,1)</f>
        <v>89</v>
      </c>
      <c r="I87" s="37" t="s">
        <v>18</v>
      </c>
      <c r="J87" s="37">
        <f>CEILING(16/'[1]Dollar Rate'!$J$26,1)</f>
        <v>13</v>
      </c>
      <c r="K87" s="37" t="s">
        <v>19</v>
      </c>
      <c r="L87" s="37">
        <f>CEILING(29/'[1]Dollar Rate'!$J$26,1)</f>
        <v>23</v>
      </c>
      <c r="M87" s="37">
        <f>CEILING(34/'[1]Dollar Rate'!$J$26,1)</f>
        <v>26</v>
      </c>
    </row>
    <row r="88" spans="1:13" s="63" customFormat="1" ht="12.75">
      <c r="A88" s="56"/>
      <c r="B88" s="57" t="s">
        <v>102</v>
      </c>
      <c r="C88" s="58" t="s">
        <v>56</v>
      </c>
      <c r="D88" s="59">
        <v>38991</v>
      </c>
      <c r="E88" s="59">
        <v>39172</v>
      </c>
      <c r="F88" s="37">
        <f>CEILING(148/'[1]Dollar Rate'!$J$26,1)</f>
        <v>113</v>
      </c>
      <c r="G88" s="37">
        <f>CEILING(148/'[1]Dollar Rate'!$J$26,1)</f>
        <v>113</v>
      </c>
      <c r="H88" s="37">
        <f>CEILING(76/'[1]Dollar Rate'!$J$26,1)</f>
        <v>59</v>
      </c>
      <c r="I88" s="37" t="s">
        <v>18</v>
      </c>
      <c r="J88" s="37">
        <f>CEILING(17/'[1]Dollar Rate'!$J$26,1)</f>
        <v>13</v>
      </c>
      <c r="K88" s="37" t="s">
        <v>19</v>
      </c>
      <c r="L88" s="37">
        <f>CEILING(31/'[1]Dollar Rate'!$J$26,1)</f>
        <v>24</v>
      </c>
      <c r="M88" s="37">
        <f>CEILING(37/'[1]Dollar Rate'!$J$26,1)</f>
        <v>29</v>
      </c>
    </row>
    <row r="89" spans="1:13" s="63" customFormat="1" ht="12.75">
      <c r="A89" s="56"/>
      <c r="B89" s="57" t="s">
        <v>103</v>
      </c>
      <c r="C89" s="58" t="s">
        <v>56</v>
      </c>
      <c r="D89" s="59">
        <v>38991</v>
      </c>
      <c r="E89" s="59">
        <v>39172</v>
      </c>
      <c r="F89" s="37">
        <f>CEILING(91/'[1]Dollar Rate'!$J$26,1)</f>
        <v>70</v>
      </c>
      <c r="G89" s="37">
        <f>CEILING(91/'[1]Dollar Rate'!$J$26,1)</f>
        <v>70</v>
      </c>
      <c r="H89" s="37">
        <f>CEILING(56/'[1]Dollar Rate'!$J$26,1)</f>
        <v>43</v>
      </c>
      <c r="I89" s="37" t="s">
        <v>18</v>
      </c>
      <c r="J89" s="37">
        <f>CEILING(14/'[1]Dollar Rate'!$J$26,1)</f>
        <v>11</v>
      </c>
      <c r="K89" s="37" t="s">
        <v>19</v>
      </c>
      <c r="L89" s="37">
        <f>CEILING(25/'[1]Dollar Rate'!$J$26,1)</f>
        <v>20</v>
      </c>
      <c r="M89" s="37">
        <f>CEILING(34/'[1]Dollar Rate'!$J$26,1)</f>
        <v>26</v>
      </c>
    </row>
    <row r="90" spans="1:13" s="63" customFormat="1" ht="12.75">
      <c r="A90" s="56"/>
      <c r="B90" s="57" t="s">
        <v>104</v>
      </c>
      <c r="C90" s="58" t="s">
        <v>56</v>
      </c>
      <c r="D90" s="59">
        <v>38991</v>
      </c>
      <c r="E90" s="59">
        <v>39172</v>
      </c>
      <c r="F90" s="37">
        <f>CEILING(128/'[1]Dollar Rate'!$J$26,1)</f>
        <v>98</v>
      </c>
      <c r="G90" s="37">
        <f>CEILING(128/'[1]Dollar Rate'!$J$26,1)</f>
        <v>98</v>
      </c>
      <c r="H90" s="37">
        <f>CEILING(126/'[1]Dollar Rate'!$J$26,1)</f>
        <v>97</v>
      </c>
      <c r="I90" s="37" t="s">
        <v>18</v>
      </c>
      <c r="J90" s="37" t="s">
        <v>23</v>
      </c>
      <c r="K90" s="37" t="s">
        <v>19</v>
      </c>
      <c r="L90" s="37" t="s">
        <v>23</v>
      </c>
      <c r="M90" s="37" t="s">
        <v>23</v>
      </c>
    </row>
    <row r="91" spans="1:13" s="63" customFormat="1" ht="12.75">
      <c r="A91" s="56"/>
      <c r="B91" s="57" t="s">
        <v>105</v>
      </c>
      <c r="C91" s="58" t="s">
        <v>56</v>
      </c>
      <c r="D91" s="59">
        <v>38991</v>
      </c>
      <c r="E91" s="59">
        <v>39172</v>
      </c>
      <c r="F91" s="37">
        <f>CEILING(143/'[1]Dollar Rate'!$J$26,1)</f>
        <v>110</v>
      </c>
      <c r="G91" s="37">
        <f>CEILING(143/'[1]Dollar Rate'!$J$26,1)</f>
        <v>110</v>
      </c>
      <c r="H91" s="37">
        <f>CEILING(61/'[1]Dollar Rate'!$J$26,1)</f>
        <v>47</v>
      </c>
      <c r="I91" s="37" t="s">
        <v>18</v>
      </c>
      <c r="J91" s="37" t="s">
        <v>23</v>
      </c>
      <c r="K91" s="37" t="s">
        <v>19</v>
      </c>
      <c r="L91" s="37" t="s">
        <v>23</v>
      </c>
      <c r="M91" s="37" t="s">
        <v>23</v>
      </c>
    </row>
    <row r="92" spans="1:13" s="63" customFormat="1" ht="12.75">
      <c r="A92" s="56"/>
      <c r="B92" s="57" t="s">
        <v>106</v>
      </c>
      <c r="C92" s="58" t="s">
        <v>56</v>
      </c>
      <c r="D92" s="59">
        <v>38991</v>
      </c>
      <c r="E92" s="59">
        <v>39172</v>
      </c>
      <c r="F92" s="37">
        <f>CEILING(133/'[1]Dollar Rate'!$J$26,1)</f>
        <v>102</v>
      </c>
      <c r="G92" s="37">
        <f>CEILING(133/'[1]Dollar Rate'!$J$26,1)</f>
        <v>102</v>
      </c>
      <c r="H92" s="37">
        <f>CEILING(61/'[1]Dollar Rate'!$J$26,1)</f>
        <v>47</v>
      </c>
      <c r="I92" s="37" t="s">
        <v>18</v>
      </c>
      <c r="J92" s="37">
        <f>CEILING(16/'[1]Dollar Rate'!$J$26,1)</f>
        <v>13</v>
      </c>
      <c r="K92" s="37" t="s">
        <v>19</v>
      </c>
      <c r="L92" s="37">
        <f>CEILING(29/'[1]Dollar Rate'!$J$26,1)</f>
        <v>23</v>
      </c>
      <c r="M92" s="37">
        <f>CEILING(31/'[1]Dollar Rate'!$J$26,1)</f>
        <v>24</v>
      </c>
    </row>
    <row r="93" spans="1:13" s="63" customFormat="1" ht="12.75">
      <c r="A93" s="56"/>
      <c r="B93" s="57" t="s">
        <v>107</v>
      </c>
      <c r="C93" s="58" t="s">
        <v>56</v>
      </c>
      <c r="D93" s="59">
        <v>38991</v>
      </c>
      <c r="E93" s="59">
        <v>39172</v>
      </c>
      <c r="F93" s="37">
        <f>CEILING(163/'[1]Dollar Rate'!$J$26,1)</f>
        <v>125</v>
      </c>
      <c r="G93" s="37">
        <f>CEILING(163/'[1]Dollar Rate'!$J$26,1)</f>
        <v>125</v>
      </c>
      <c r="H93" s="37">
        <f>CEILING(78/'[1]Dollar Rate'!$J$26,1)</f>
        <v>60</v>
      </c>
      <c r="I93" s="37" t="s">
        <v>18</v>
      </c>
      <c r="J93" s="37">
        <f>CEILING(16/'[1]Dollar Rate'!$J$26,1)</f>
        <v>13</v>
      </c>
      <c r="K93" s="37" t="s">
        <v>19</v>
      </c>
      <c r="L93" s="37">
        <f>CEILING(29/'[1]Dollar Rate'!$J$26,1)</f>
        <v>23</v>
      </c>
      <c r="M93" s="37">
        <f>CEILING(32/'[1]Dollar Rate'!$J$26,1)</f>
        <v>25</v>
      </c>
    </row>
    <row r="94" spans="1:13" s="63" customFormat="1" ht="12.75">
      <c r="A94" s="56"/>
      <c r="B94" s="57" t="s">
        <v>108</v>
      </c>
      <c r="C94" s="58" t="s">
        <v>56</v>
      </c>
      <c r="D94" s="59">
        <v>38991</v>
      </c>
      <c r="E94" s="59">
        <v>39172</v>
      </c>
      <c r="F94" s="37">
        <f>CEILING(148/'[1]Dollar Rate'!$J$26,1)</f>
        <v>113</v>
      </c>
      <c r="G94" s="37">
        <f>CEILING(148/'[1]Dollar Rate'!$J$26,1)</f>
        <v>113</v>
      </c>
      <c r="H94" s="37">
        <f>CEILING(76/'[1]Dollar Rate'!$J$26,1)</f>
        <v>59</v>
      </c>
      <c r="I94" s="37" t="s">
        <v>18</v>
      </c>
      <c r="J94" s="37">
        <f>CEILING(16/'[1]Dollar Rate'!$J$26,1)</f>
        <v>13</v>
      </c>
      <c r="K94" s="37" t="s">
        <v>19</v>
      </c>
      <c r="L94" s="37">
        <f>CEILING(29/'[1]Dollar Rate'!$J$26,1)</f>
        <v>23</v>
      </c>
      <c r="M94" s="37">
        <f>CEILING(36/'[1]Dollar Rate'!$J$26,1)</f>
        <v>28</v>
      </c>
    </row>
    <row r="95" spans="1:13" s="63" customFormat="1" ht="12.75">
      <c r="A95" s="56"/>
      <c r="B95" s="57" t="s">
        <v>109</v>
      </c>
      <c r="C95" s="58" t="s">
        <v>56</v>
      </c>
      <c r="D95" s="59">
        <v>38991</v>
      </c>
      <c r="E95" s="59">
        <v>39172</v>
      </c>
      <c r="F95" s="37">
        <f>CEILING(96/'[1]Dollar Rate'!$J$26,1)</f>
        <v>74</v>
      </c>
      <c r="G95" s="37">
        <f>CEILING(96/'[1]Dollar Rate'!$J$26,1)</f>
        <v>74</v>
      </c>
      <c r="H95" s="37">
        <f>CEILING(56/'[1]Dollar Rate'!$J$26,1)</f>
        <v>43</v>
      </c>
      <c r="I95" s="37" t="s">
        <v>18</v>
      </c>
      <c r="J95" s="37" t="s">
        <v>23</v>
      </c>
      <c r="K95" s="37" t="s">
        <v>19</v>
      </c>
      <c r="L95" s="37" t="s">
        <v>23</v>
      </c>
      <c r="M95" s="37" t="s">
        <v>23</v>
      </c>
    </row>
    <row r="96" spans="1:13" s="63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s="63" customFormat="1" ht="13.5" thickBo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s="63" customFormat="1" ht="13.5" thickTop="1">
      <c r="A98" s="22" t="s">
        <v>110</v>
      </c>
      <c r="B98" s="2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s="63" customFormat="1" ht="12.75">
      <c r="A99" s="56"/>
      <c r="B99" s="57" t="s">
        <v>111</v>
      </c>
      <c r="C99" s="58" t="s">
        <v>112</v>
      </c>
      <c r="D99" s="59">
        <v>38991</v>
      </c>
      <c r="E99" s="59">
        <v>39172</v>
      </c>
      <c r="F99" s="37">
        <f>CEILING(78/'[1]Dollar Rate'!$J$26,1)</f>
        <v>60</v>
      </c>
      <c r="G99" s="37">
        <f>CEILING(83/'[1]Dollar Rate'!$J$26,1)</f>
        <v>64</v>
      </c>
      <c r="H99" s="37">
        <f>CEILING(36/'[1]Dollar Rate'!$J$26,1)</f>
        <v>28</v>
      </c>
      <c r="I99" s="37" t="s">
        <v>18</v>
      </c>
      <c r="J99" s="37" t="s">
        <v>23</v>
      </c>
      <c r="K99" s="37" t="s">
        <v>19</v>
      </c>
      <c r="L99" s="37" t="s">
        <v>23</v>
      </c>
      <c r="M99" s="37" t="s">
        <v>23</v>
      </c>
    </row>
    <row r="100" spans="1:13" s="63" customFormat="1" ht="12.75">
      <c r="A100" s="56"/>
      <c r="B100" s="57" t="s">
        <v>113</v>
      </c>
      <c r="C100" s="58" t="s">
        <v>112</v>
      </c>
      <c r="D100" s="59">
        <v>38991</v>
      </c>
      <c r="E100" s="59">
        <v>39172</v>
      </c>
      <c r="F100" s="37">
        <f>CEILING(83/'[1]Dollar Rate'!$J$26,1)</f>
        <v>64</v>
      </c>
      <c r="G100" s="37">
        <f>CEILING(88/'[1]Dollar Rate'!$J$26,1)</f>
        <v>68</v>
      </c>
      <c r="H100" s="37">
        <f>CEILING(41/'[1]Dollar Rate'!$J$26,1)</f>
        <v>32</v>
      </c>
      <c r="I100" s="37" t="s">
        <v>18</v>
      </c>
      <c r="J100" s="37" t="s">
        <v>23</v>
      </c>
      <c r="K100" s="37" t="s">
        <v>19</v>
      </c>
      <c r="L100" s="37" t="s">
        <v>23</v>
      </c>
      <c r="M100" s="37" t="s">
        <v>23</v>
      </c>
    </row>
    <row r="101" spans="1:13" s="63" customFormat="1" ht="12.75">
      <c r="A101" s="56"/>
      <c r="B101" s="57" t="s">
        <v>114</v>
      </c>
      <c r="C101" s="58" t="s">
        <v>112</v>
      </c>
      <c r="D101" s="59">
        <v>38991</v>
      </c>
      <c r="E101" s="59">
        <v>39172</v>
      </c>
      <c r="F101" s="37">
        <f>CEILING(108/'[1]Dollar Rate'!$J$26,1)</f>
        <v>83</v>
      </c>
      <c r="G101" s="37">
        <f>CEILING(108/'[1]Dollar Rate'!$J$26,1)</f>
        <v>83</v>
      </c>
      <c r="H101" s="37">
        <f>CEILING(56/'[1]Dollar Rate'!$J$26,1)</f>
        <v>43</v>
      </c>
      <c r="I101" s="37" t="s">
        <v>18</v>
      </c>
      <c r="J101" s="37">
        <f>CEILING(10/'[1]Dollar Rate'!$J$26,1)</f>
        <v>8</v>
      </c>
      <c r="K101" s="37" t="s">
        <v>19</v>
      </c>
      <c r="L101" s="37">
        <f>CEILING(19/'[1]Dollar Rate'!$J$26,1)</f>
        <v>15</v>
      </c>
      <c r="M101" s="37">
        <f>CEILING(22/'[1]Dollar Rate'!$J$26,1)</f>
        <v>17</v>
      </c>
    </row>
    <row r="102" spans="1:13" s="63" customFormat="1" ht="12.75">
      <c r="A102" s="38"/>
      <c r="B102" s="39" t="s">
        <v>115</v>
      </c>
      <c r="C102" s="26" t="s">
        <v>56</v>
      </c>
      <c r="D102" s="27">
        <v>38991</v>
      </c>
      <c r="E102" s="27">
        <v>39172</v>
      </c>
      <c r="F102" s="37">
        <f>CEILING(109/'[1]Dollar Rate'!$J$26,1)</f>
        <v>84</v>
      </c>
      <c r="G102" s="37">
        <f>CEILING(109/'[1]Dollar Rate'!$J$26,1)</f>
        <v>84</v>
      </c>
      <c r="H102" s="37">
        <f>CEILING(66/'[1]Dollar Rate'!$J$26,1)</f>
        <v>51</v>
      </c>
      <c r="I102" s="37" t="s">
        <v>18</v>
      </c>
      <c r="J102" s="37" t="s">
        <v>23</v>
      </c>
      <c r="K102" s="37" t="s">
        <v>19</v>
      </c>
      <c r="L102" s="37" t="s">
        <v>23</v>
      </c>
      <c r="M102" s="37" t="s">
        <v>23</v>
      </c>
    </row>
    <row r="103" spans="1:13" s="63" customFormat="1" ht="12.75">
      <c r="A103" s="43"/>
      <c r="B103" s="44"/>
      <c r="C103" s="54" t="s">
        <v>17</v>
      </c>
      <c r="D103" s="55">
        <v>38991</v>
      </c>
      <c r="E103" s="55">
        <v>39172</v>
      </c>
      <c r="F103" s="37">
        <f>CEILING(138/'[1]Dollar Rate'!$J$26,1)</f>
        <v>106</v>
      </c>
      <c r="G103" s="37">
        <f>CEILING(138/'[1]Dollar Rate'!$J$26,1)</f>
        <v>106</v>
      </c>
      <c r="H103" s="37">
        <f>CEILING(66/'[1]Dollar Rate'!$J$26,1)</f>
        <v>51</v>
      </c>
      <c r="I103" s="37" t="s">
        <v>18</v>
      </c>
      <c r="J103" s="37" t="s">
        <v>23</v>
      </c>
      <c r="K103" s="37" t="s">
        <v>19</v>
      </c>
      <c r="L103" s="37" t="s">
        <v>23</v>
      </c>
      <c r="M103" s="37" t="s">
        <v>23</v>
      </c>
    </row>
    <row r="104" spans="1:13" s="63" customFormat="1" ht="12.75">
      <c r="A104" s="56"/>
      <c r="B104" s="57" t="s">
        <v>116</v>
      </c>
      <c r="C104" s="58" t="s">
        <v>112</v>
      </c>
      <c r="D104" s="59">
        <v>38991</v>
      </c>
      <c r="E104" s="59">
        <v>39172</v>
      </c>
      <c r="F104" s="37">
        <f>CEILING(93/'[1]Dollar Rate'!$J$26,1)</f>
        <v>71</v>
      </c>
      <c r="G104" s="37">
        <f>CEILING(103/'[1]Dollar Rate'!$J$26,1)</f>
        <v>79</v>
      </c>
      <c r="H104" s="37">
        <f>CEILING(41/'[1]Dollar Rate'!$J$26,1)</f>
        <v>32</v>
      </c>
      <c r="I104" s="37" t="s">
        <v>18</v>
      </c>
      <c r="J104" s="37" t="s">
        <v>23</v>
      </c>
      <c r="K104" s="37" t="s">
        <v>19</v>
      </c>
      <c r="L104" s="37" t="s">
        <v>23</v>
      </c>
      <c r="M104" s="37" t="s">
        <v>23</v>
      </c>
    </row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</sheetData>
  <mergeCells count="53">
    <mergeCell ref="C1:M1"/>
    <mergeCell ref="A57:B57"/>
    <mergeCell ref="A66:A67"/>
    <mergeCell ref="B66:B67"/>
    <mergeCell ref="A50:A51"/>
    <mergeCell ref="B50:B51"/>
    <mergeCell ref="A53:A54"/>
    <mergeCell ref="B53:B54"/>
    <mergeCell ref="A44:A46"/>
    <mergeCell ref="B44:B46"/>
    <mergeCell ref="A47:A48"/>
    <mergeCell ref="B47:B48"/>
    <mergeCell ref="A40:A41"/>
    <mergeCell ref="B40:B41"/>
    <mergeCell ref="A42:A43"/>
    <mergeCell ref="B42:B43"/>
    <mergeCell ref="B31:B32"/>
    <mergeCell ref="A34:A35"/>
    <mergeCell ref="B34:B35"/>
    <mergeCell ref="A36:A37"/>
    <mergeCell ref="B36:B37"/>
    <mergeCell ref="A8:B8"/>
    <mergeCell ref="B19:B21"/>
    <mergeCell ref="A22:A24"/>
    <mergeCell ref="B22:B24"/>
    <mergeCell ref="A9:A11"/>
    <mergeCell ref="A14:A15"/>
    <mergeCell ref="A19:A21"/>
    <mergeCell ref="A69:A70"/>
    <mergeCell ref="B69:B70"/>
    <mergeCell ref="A16:A18"/>
    <mergeCell ref="B9:B11"/>
    <mergeCell ref="A12:A13"/>
    <mergeCell ref="B12:B13"/>
    <mergeCell ref="B14:B15"/>
    <mergeCell ref="B16:B18"/>
    <mergeCell ref="A26:B26"/>
    <mergeCell ref="A31:A32"/>
    <mergeCell ref="A2:A4"/>
    <mergeCell ref="I2:J3"/>
    <mergeCell ref="K2:M3"/>
    <mergeCell ref="F2:H3"/>
    <mergeCell ref="B2:B4"/>
    <mergeCell ref="D2:E3"/>
    <mergeCell ref="C2:C4"/>
    <mergeCell ref="A98:B98"/>
    <mergeCell ref="A102:A103"/>
    <mergeCell ref="B102:B103"/>
    <mergeCell ref="A79:B79"/>
    <mergeCell ref="A81:A82"/>
    <mergeCell ref="B81:B82"/>
    <mergeCell ref="A83:A84"/>
    <mergeCell ref="B83:B84"/>
  </mergeCells>
  <printOptions/>
  <pageMargins left="0.5" right="0.5" top="0.5" bottom="0.5" header="0.25" footer="0.25"/>
  <pageSetup horizontalDpi="600" verticalDpi="600" orientation="landscape" r:id="rId2"/>
  <ignoredErrors>
    <ignoredError sqref="H29 L49 F31:G31 F36:G36 F47:G47 F50:G50 F74:G74 F61:H61 J68 F59:G59 F72:G72 F76:H76 H11 K19:K20 J49 J52 L52:M52 L59:M59 J59 L61:M61 F68:G68 L68:M68 L74:M74 J74 L76:M76 J76 J6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2006-10-24T08:22:45Z</dcterms:created>
  <dcterms:modified xsi:type="dcterms:W3CDTF">2006-10-24T08:25:36Z</dcterms:modified>
  <cp:category/>
  <cp:version/>
  <cp:contentType/>
  <cp:contentStatus/>
</cp:coreProperties>
</file>