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95" activeTab="0"/>
  </bookViews>
  <sheets>
    <sheet name="Лангкави" sheetId="1" r:id="rId1"/>
  </sheets>
  <externalReferences>
    <externalReference r:id="rId4"/>
  </externalReferences>
  <definedNames>
    <definedName name="_xlnm.Print_Titles" localSheetId="0">'Лангкави'!$2:$4</definedName>
  </definedNames>
  <calcPr fullCalcOnLoad="1"/>
</workbook>
</file>

<file path=xl/sharedStrings.xml><?xml version="1.0" encoding="utf-8"?>
<sst xmlns="http://schemas.openxmlformats.org/spreadsheetml/2006/main" count="297" uniqueCount="87">
  <si>
    <t>HOTEL</t>
  </si>
  <si>
    <t>ROOM TYPE</t>
  </si>
  <si>
    <t>VALIDITY</t>
  </si>
  <si>
    <t xml:space="preserve">ROOM RATE </t>
  </si>
  <si>
    <t>CHILD (2-12)</t>
  </si>
  <si>
    <t xml:space="preserve">MEALS </t>
  </si>
  <si>
    <t>FFOM</t>
  </si>
  <si>
    <t>TO</t>
  </si>
  <si>
    <t>SGL</t>
  </si>
  <si>
    <t>DBL</t>
  </si>
  <si>
    <t>EXB</t>
  </si>
  <si>
    <t>ABF</t>
  </si>
  <si>
    <t>LCH</t>
  </si>
  <si>
    <t>DNR</t>
  </si>
  <si>
    <t>УСЛОВНЫЕ ОБОЗНАЧЕНИЯ:</t>
  </si>
  <si>
    <t>Рекомендуем</t>
  </si>
  <si>
    <t>5 STAR</t>
  </si>
  <si>
    <t>LANGKAWI</t>
  </si>
  <si>
    <t>FOUR SEASON RESORT</t>
  </si>
  <si>
    <t>MALAL PAV</t>
  </si>
  <si>
    <t>N/A</t>
  </si>
  <si>
    <t>BEACH VILLA</t>
  </si>
  <si>
    <t>FOC</t>
  </si>
  <si>
    <t>2 BDR ROOM VL</t>
  </si>
  <si>
    <t>PRESID. SUITE</t>
  </si>
  <si>
    <t>THE ANDAMAN</t>
  </si>
  <si>
    <t>DELUXE</t>
  </si>
  <si>
    <t>RQ</t>
  </si>
  <si>
    <t>SV</t>
  </si>
  <si>
    <t>THE DATAI</t>
  </si>
  <si>
    <t>DLX</t>
  </si>
  <si>
    <t>VILLA</t>
  </si>
  <si>
    <t>CASA DEL MAR            (Boutique Hotel)</t>
  </si>
  <si>
    <t>30/11/06</t>
  </si>
  <si>
    <t>INC</t>
  </si>
  <si>
    <t>JUNIOR SUITE</t>
  </si>
  <si>
    <t>PELANGI BEACH RESORT</t>
  </si>
  <si>
    <t xml:space="preserve">SUP GARDEN </t>
  </si>
  <si>
    <t>DLX POOL/ LAKE</t>
  </si>
  <si>
    <t>DLX SV</t>
  </si>
  <si>
    <t>SHERATON PERDANA</t>
  </si>
  <si>
    <t>SUP</t>
  </si>
  <si>
    <t>GV</t>
  </si>
  <si>
    <t>SEAVIEW</t>
  </si>
  <si>
    <t>SEAFACING</t>
  </si>
  <si>
    <t>SHERATON LANGKAWI BEACH</t>
  </si>
  <si>
    <t xml:space="preserve">GV </t>
  </si>
  <si>
    <t>SF</t>
  </si>
  <si>
    <t>TANJUNG RHU RESORT</t>
  </si>
  <si>
    <t>DAMAI</t>
  </si>
  <si>
    <t>CAHAYA</t>
  </si>
  <si>
    <t>BAYU SURIA</t>
  </si>
  <si>
    <t>2FOC</t>
  </si>
  <si>
    <t>BAYU SENJA</t>
  </si>
  <si>
    <t>ANJUNG</t>
  </si>
  <si>
    <t xml:space="preserve">ДОПОЛНИТЕЛЬНЫЙ НОМЕР С ЗАВТРАКОМ ДЛЯ ПОДРОСТКОВ ДО 18 ЛЕТ, ПРИЕЗЖАЮЩИХ С РОДИТЕЛЯМИ. </t>
  </si>
  <si>
    <t>4 STAR</t>
  </si>
  <si>
    <t>BERJAYA LANGKAWI BEACH</t>
  </si>
  <si>
    <t>PRM ON LAND</t>
  </si>
  <si>
    <t>JNR ON WATER</t>
  </si>
  <si>
    <t>PRM ON WATER</t>
  </si>
  <si>
    <t>EXC WATER</t>
  </si>
  <si>
    <t>LANGKAWI HOLIDAY VILLA</t>
  </si>
  <si>
    <t>ROH</t>
  </si>
  <si>
    <t>FEDERAL VILLA LANGKAWI</t>
  </si>
  <si>
    <t xml:space="preserve"> MUTIARA BURAU BAY </t>
  </si>
  <si>
    <t xml:space="preserve"> ROH </t>
  </si>
  <si>
    <t xml:space="preserve"> INC </t>
  </si>
  <si>
    <t xml:space="preserve">FAMILY </t>
  </si>
  <si>
    <t xml:space="preserve">Для детей 2-12 в комнате Family Cabana предоставляется бесплатный матрац. </t>
  </si>
  <si>
    <t>FRANGIPANI LANGKAWI RESORT (formerly known as LANGKAWI VILLAGE RESORT</t>
  </si>
  <si>
    <t>STD</t>
  </si>
  <si>
    <t>31/10/06</t>
  </si>
  <si>
    <t>19/12/06</t>
  </si>
  <si>
    <t>20/12/06</t>
  </si>
  <si>
    <t>31/03/07</t>
  </si>
  <si>
    <t xml:space="preserve"> обязательный новогодний ужин 31.12.2006 (стоимость будет сообщаться дополнительно)</t>
  </si>
  <si>
    <t>ВНИМАНИЕ: Тарифы на другие типы номеров предоставляются по запросу.</t>
  </si>
  <si>
    <t>ВНИМАНИЕ: Тарифы на другие отели предоставляются по запросу.</t>
  </si>
  <si>
    <r>
      <t xml:space="preserve">ATLANTA TOUR SERVICE                                                                                                                                                                           Москва, ул. Верхняя Красносельская д.11А стр.3                                                                                                                                              Тел: 225-18-48 </t>
    </r>
    <r>
      <rPr>
        <b/>
        <i/>
        <u val="single"/>
        <sz val="14"/>
        <color indexed="10"/>
        <rFont val="Arial"/>
        <family val="2"/>
      </rPr>
      <t>atlantatour@mail.ru</t>
    </r>
  </si>
  <si>
    <t xml:space="preserve">ДОПЛАТА USD 55.00 ЗА НОМЕР В СУТКИ,  ПЕРИОД 20.12.2006 - 15.01.2007, USD 38 c 16.01.2007-31.01.2007, USD 22 c 01.02.2007-15.02.2007, USD 107 в период 24.12.2006, 25.12.2006, USD 175 - 31.12.2006 </t>
  </si>
  <si>
    <t>ДОПЛАТА USD 55.00 ЗА НОМЕР В СУТКИ,  ПЕРИОД 21.12.2006, 6.01.2007-15.01.2007, USD 38 c 16.01.2007-31.01.2007, USD 22 c 1.02.2007-15.02.2007</t>
  </si>
  <si>
    <t>ДОПЛАТА ЗА ALL INCLUSIVE  ПАКЕТ USD 74.00 ЗА НОМЕР В СУТКИ</t>
  </si>
  <si>
    <t>ДОПЛАТА ЗА ALL INCLUSIVE  ПАКЕТ USD 96.00 ЗА КОМНАТУ В СУТКИ</t>
  </si>
  <si>
    <t>ДОПЛАТА USD 31.00 ЗА НОМЕР В СУТКИ,  ПЕРИОД 18.12.06 - 03.01 2007, обязательный новогодний ужин 31.12.2006 (стоимость будет сообщаться дополнительно)</t>
  </si>
  <si>
    <t>ДОПЛАТА USD 22.00 ЗА НОМЕР В СУТКИ,  ПЕРИОД 15.12.06 - 15.01 2007</t>
  </si>
  <si>
    <t>ДОПЛАТА USD 22.00 ЗА НОМЕР В СУТКИ,  ПЕРИОД 18.12.06 - 08.01 2007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</si>
</sst>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[$-409]h:mm:ss\ AM/PM"/>
    <numFmt numFmtId="175" formatCode="mmm\-yyyy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;[Red]#,##0.00"/>
    <numFmt numFmtId="183" formatCode="0.0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[$-FC19]d\ mmmm\ yyyy\ &quot;г.&quot;"/>
    <numFmt numFmtId="188" formatCode="dd/mm/yy;@"/>
    <numFmt numFmtId="189" formatCode="mmm/yyyy"/>
    <numFmt numFmtId="190" formatCode="[$-419]d\ mmm\ 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62"/>
      <name val="Tahoma"/>
      <family val="2"/>
    </font>
    <font>
      <b/>
      <u val="single"/>
      <sz val="10"/>
      <color indexed="6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color indexed="10"/>
      <name val="Tahoma"/>
      <family val="2"/>
    </font>
    <font>
      <b/>
      <i/>
      <sz val="14"/>
      <name val="Arial"/>
      <family val="2"/>
    </font>
    <font>
      <b/>
      <i/>
      <u val="single"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71" fontId="8" fillId="2" borderId="11" xfId="0" applyNumberFormat="1" applyFont="1" applyFill="1" applyBorder="1" applyAlignment="1">
      <alignment/>
    </xf>
    <xf numFmtId="171" fontId="8" fillId="2" borderId="12" xfId="0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171" fontId="4" fillId="3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10" fillId="3" borderId="13" xfId="0" applyFont="1" applyFill="1" applyBorder="1" applyAlignment="1">
      <alignment/>
    </xf>
    <xf numFmtId="0" fontId="11" fillId="0" borderId="14" xfId="0" applyFont="1" applyBorder="1" applyAlignment="1">
      <alignment horizontal="left" vertical="center" wrapText="1"/>
    </xf>
    <xf numFmtId="0" fontId="10" fillId="4" borderId="14" xfId="0" applyFont="1" applyFill="1" applyBorder="1" applyAlignment="1">
      <alignment horizontal="center" vertical="center" wrapText="1"/>
    </xf>
    <xf numFmtId="173" fontId="10" fillId="4" borderId="14" xfId="0" applyNumberFormat="1" applyFont="1" applyFill="1" applyBorder="1" applyAlignment="1">
      <alignment horizontal="center" vertical="center" wrapText="1"/>
    </xf>
    <xf numFmtId="188" fontId="10" fillId="4" borderId="14" xfId="0" applyNumberFormat="1" applyFont="1" applyFill="1" applyBorder="1" applyAlignment="1">
      <alignment horizontal="center" vertical="center" wrapText="1"/>
    </xf>
    <xf numFmtId="2" fontId="10" fillId="4" borderId="14" xfId="0" applyNumberFormat="1" applyFont="1" applyFill="1" applyBorder="1" applyAlignment="1">
      <alignment horizontal="right" vertical="center" wrapText="1"/>
    </xf>
    <xf numFmtId="2" fontId="10" fillId="4" borderId="15" xfId="0" applyNumberFormat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/>
    </xf>
    <xf numFmtId="0" fontId="11" fillId="0" borderId="17" xfId="0" applyFont="1" applyBorder="1" applyAlignment="1">
      <alignment horizontal="left" vertical="center" wrapText="1"/>
    </xf>
    <xf numFmtId="0" fontId="0" fillId="4" borderId="17" xfId="0" applyFill="1" applyBorder="1" applyAlignment="1">
      <alignment horizontal="center" vertical="center" wrapText="1"/>
    </xf>
    <xf numFmtId="173" fontId="10" fillId="4" borderId="17" xfId="0" applyNumberFormat="1" applyFont="1" applyFill="1" applyBorder="1" applyAlignment="1">
      <alignment horizontal="center" vertical="center" wrapText="1"/>
    </xf>
    <xf numFmtId="188" fontId="10" fillId="4" borderId="17" xfId="0" applyNumberFormat="1" applyFont="1" applyFill="1" applyBorder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right" vertical="center" wrapText="1"/>
    </xf>
    <xf numFmtId="2" fontId="10" fillId="4" borderId="18" xfId="0" applyNumberFormat="1" applyFont="1" applyFill="1" applyBorder="1" applyAlignment="1">
      <alignment horizontal="right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/>
    </xf>
    <xf numFmtId="0" fontId="11" fillId="0" borderId="20" xfId="0" applyFont="1" applyBorder="1" applyAlignment="1">
      <alignment horizontal="left" vertical="center" wrapText="1"/>
    </xf>
    <xf numFmtId="0" fontId="10" fillId="4" borderId="20" xfId="0" applyFont="1" applyFill="1" applyBorder="1" applyAlignment="1">
      <alignment horizontal="center" vertical="center" wrapText="1"/>
    </xf>
    <xf numFmtId="173" fontId="10" fillId="4" borderId="20" xfId="0" applyNumberFormat="1" applyFont="1" applyFill="1" applyBorder="1" applyAlignment="1">
      <alignment horizontal="center" vertical="center" wrapText="1"/>
    </xf>
    <xf numFmtId="188" fontId="10" fillId="4" borderId="20" xfId="0" applyNumberFormat="1" applyFont="1" applyFill="1" applyBorder="1" applyAlignment="1">
      <alignment horizontal="center" vertical="center" wrapText="1"/>
    </xf>
    <xf numFmtId="2" fontId="10" fillId="4" borderId="20" xfId="0" applyNumberFormat="1" applyFont="1" applyFill="1" applyBorder="1" applyAlignment="1">
      <alignment horizontal="right" vertical="center" wrapText="1"/>
    </xf>
    <xf numFmtId="2" fontId="10" fillId="4" borderId="21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left" vertical="center"/>
    </xf>
    <xf numFmtId="0" fontId="10" fillId="4" borderId="14" xfId="0" applyFont="1" applyFill="1" applyBorder="1" applyAlignment="1">
      <alignment horizontal="center" vertical="center"/>
    </xf>
    <xf numFmtId="188" fontId="10" fillId="4" borderId="14" xfId="0" applyNumberFormat="1" applyFont="1" applyFill="1" applyBorder="1" applyAlignment="1">
      <alignment horizontal="center"/>
    </xf>
    <xf numFmtId="2" fontId="10" fillId="4" borderId="14" xfId="0" applyNumberFormat="1" applyFont="1" applyFill="1" applyBorder="1" applyAlignment="1">
      <alignment horizontal="right"/>
    </xf>
    <xf numFmtId="2" fontId="10" fillId="4" borderId="15" xfId="0" applyNumberFormat="1" applyFont="1" applyFill="1" applyBorder="1" applyAlignment="1">
      <alignment horizontal="right"/>
    </xf>
    <xf numFmtId="0" fontId="0" fillId="3" borderId="16" xfId="0" applyFill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4" borderId="17" xfId="0" applyFill="1" applyBorder="1" applyAlignment="1">
      <alignment horizontal="center" vertical="center"/>
    </xf>
    <xf numFmtId="188" fontId="10" fillId="4" borderId="17" xfId="0" applyNumberFormat="1" applyFont="1" applyFill="1" applyBorder="1" applyAlignment="1">
      <alignment horizontal="center"/>
    </xf>
    <xf numFmtId="2" fontId="10" fillId="4" borderId="17" xfId="0" applyNumberFormat="1" applyFont="1" applyFill="1" applyBorder="1" applyAlignment="1">
      <alignment horizontal="right"/>
    </xf>
    <xf numFmtId="2" fontId="10" fillId="4" borderId="18" xfId="0" applyNumberFormat="1" applyFont="1" applyFill="1" applyBorder="1" applyAlignment="1">
      <alignment horizontal="right"/>
    </xf>
    <xf numFmtId="0" fontId="10" fillId="4" borderId="17" xfId="0" applyFont="1" applyFill="1" applyBorder="1" applyAlignment="1">
      <alignment horizontal="center" vertical="center"/>
    </xf>
    <xf numFmtId="0" fontId="0" fillId="3" borderId="19" xfId="0" applyFill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10" fillId="4" borderId="20" xfId="0" applyFont="1" applyFill="1" applyBorder="1" applyAlignment="1">
      <alignment horizontal="center" vertical="center"/>
    </xf>
    <xf numFmtId="188" fontId="10" fillId="4" borderId="20" xfId="0" applyNumberFormat="1" applyFont="1" applyFill="1" applyBorder="1" applyAlignment="1">
      <alignment horizontal="center"/>
    </xf>
    <xf numFmtId="2" fontId="10" fillId="4" borderId="20" xfId="0" applyNumberFormat="1" applyFont="1" applyFill="1" applyBorder="1" applyAlignment="1">
      <alignment horizontal="right"/>
    </xf>
    <xf numFmtId="2" fontId="10" fillId="4" borderId="2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4" borderId="20" xfId="0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9" xfId="0" applyFont="1" applyBorder="1" applyAlignment="1">
      <alignment/>
    </xf>
    <xf numFmtId="0" fontId="0" fillId="3" borderId="16" xfId="0" applyFill="1" applyBorder="1" applyAlignment="1">
      <alignment/>
    </xf>
    <xf numFmtId="0" fontId="0" fillId="0" borderId="17" xfId="0" applyFont="1" applyBorder="1" applyAlignment="1">
      <alignment/>
    </xf>
    <xf numFmtId="0" fontId="0" fillId="4" borderId="17" xfId="0" applyFill="1" applyBorder="1" applyAlignment="1">
      <alignment/>
    </xf>
    <xf numFmtId="0" fontId="0" fillId="3" borderId="19" xfId="0" applyFill="1" applyBorder="1" applyAlignment="1">
      <alignment/>
    </xf>
    <xf numFmtId="0" fontId="0" fillId="0" borderId="20" xfId="0" applyFont="1" applyBorder="1" applyAlignment="1">
      <alignment/>
    </xf>
    <xf numFmtId="0" fontId="0" fillId="4" borderId="20" xfId="0" applyFill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/>
    </xf>
    <xf numFmtId="0" fontId="11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/>
    </xf>
    <xf numFmtId="0" fontId="10" fillId="4" borderId="0" xfId="0" applyFont="1" applyFill="1" applyAlignment="1">
      <alignment/>
    </xf>
    <xf numFmtId="0" fontId="10" fillId="4" borderId="23" xfId="0" applyFont="1" applyFill="1" applyBorder="1" applyAlignment="1">
      <alignment/>
    </xf>
    <xf numFmtId="0" fontId="10" fillId="3" borderId="24" xfId="0" applyFont="1" applyFill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/>
    </xf>
    <xf numFmtId="188" fontId="10" fillId="4" borderId="26" xfId="0" applyNumberFormat="1" applyFont="1" applyFill="1" applyBorder="1" applyAlignment="1">
      <alignment horizontal="center"/>
    </xf>
    <xf numFmtId="188" fontId="10" fillId="4" borderId="27" xfId="0" applyNumberFormat="1" applyFont="1" applyFill="1" applyBorder="1" applyAlignment="1">
      <alignment horizontal="center"/>
    </xf>
    <xf numFmtId="2" fontId="10" fillId="4" borderId="26" xfId="0" applyNumberFormat="1" applyFont="1" applyFill="1" applyBorder="1" applyAlignment="1">
      <alignment/>
    </xf>
    <xf numFmtId="2" fontId="10" fillId="4" borderId="26" xfId="0" applyNumberFormat="1" applyFont="1" applyFill="1" applyBorder="1" applyAlignment="1">
      <alignment horizontal="right"/>
    </xf>
    <xf numFmtId="2" fontId="10" fillId="4" borderId="28" xfId="0" applyNumberFormat="1" applyFont="1" applyFill="1" applyBorder="1" applyAlignment="1">
      <alignment/>
    </xf>
    <xf numFmtId="0" fontId="11" fillId="0" borderId="29" xfId="0" applyFont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/>
    </xf>
    <xf numFmtId="188" fontId="10" fillId="4" borderId="30" xfId="0" applyNumberFormat="1" applyFont="1" applyFill="1" applyBorder="1" applyAlignment="1">
      <alignment horizontal="center"/>
    </xf>
    <xf numFmtId="2" fontId="10" fillId="4" borderId="30" xfId="0" applyNumberFormat="1" applyFont="1" applyFill="1" applyBorder="1" applyAlignment="1">
      <alignment/>
    </xf>
    <xf numFmtId="2" fontId="10" fillId="4" borderId="30" xfId="0" applyNumberFormat="1" applyFont="1" applyFill="1" applyBorder="1" applyAlignment="1">
      <alignment horizontal="right"/>
    </xf>
    <xf numFmtId="2" fontId="10" fillId="4" borderId="31" xfId="0" applyNumberFormat="1" applyFont="1" applyFill="1" applyBorder="1" applyAlignment="1">
      <alignment/>
    </xf>
    <xf numFmtId="0" fontId="10" fillId="4" borderId="30" xfId="0" applyFont="1" applyFill="1" applyBorder="1" applyAlignment="1">
      <alignment horizontal="center" vertical="center" wrapText="1"/>
    </xf>
    <xf numFmtId="188" fontId="10" fillId="4" borderId="32" xfId="0" applyNumberFormat="1" applyFont="1" applyFill="1" applyBorder="1" applyAlignment="1">
      <alignment horizontal="center" vertical="center" wrapText="1"/>
    </xf>
    <xf numFmtId="2" fontId="10" fillId="4" borderId="30" xfId="0" applyNumberFormat="1" applyFont="1" applyFill="1" applyBorder="1" applyAlignment="1">
      <alignment horizontal="right" vertical="center" wrapText="1"/>
    </xf>
    <xf numFmtId="2" fontId="10" fillId="4" borderId="32" xfId="0" applyNumberFormat="1" applyFont="1" applyFill="1" applyBorder="1" applyAlignment="1">
      <alignment horizontal="right" vertical="center" wrapText="1"/>
    </xf>
    <xf numFmtId="2" fontId="10" fillId="4" borderId="33" xfId="0" applyNumberFormat="1" applyFont="1" applyFill="1" applyBorder="1" applyAlignment="1">
      <alignment horizontal="right" vertical="center" wrapText="1"/>
    </xf>
    <xf numFmtId="188" fontId="10" fillId="4" borderId="27" xfId="0" applyNumberFormat="1" applyFont="1" applyFill="1" applyBorder="1" applyAlignment="1">
      <alignment horizontal="center" vertical="center" wrapText="1"/>
    </xf>
    <xf numFmtId="2" fontId="10" fillId="4" borderId="27" xfId="0" applyNumberFormat="1" applyFont="1" applyFill="1" applyBorder="1" applyAlignment="1">
      <alignment horizontal="right" vertical="center" wrapText="1"/>
    </xf>
    <xf numFmtId="2" fontId="10" fillId="4" borderId="28" xfId="0" applyNumberFormat="1" applyFont="1" applyFill="1" applyBorder="1" applyAlignment="1">
      <alignment horizontal="right" vertical="center" wrapText="1"/>
    </xf>
    <xf numFmtId="188" fontId="10" fillId="4" borderId="30" xfId="0" applyNumberFormat="1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188" fontId="10" fillId="4" borderId="35" xfId="0" applyNumberFormat="1" applyFont="1" applyFill="1" applyBorder="1" applyAlignment="1">
      <alignment horizontal="center" vertical="center" wrapText="1"/>
    </xf>
    <xf numFmtId="188" fontId="10" fillId="4" borderId="34" xfId="0" applyNumberFormat="1" applyFont="1" applyFill="1" applyBorder="1" applyAlignment="1">
      <alignment horizontal="center" vertical="center" wrapText="1"/>
    </xf>
    <xf numFmtId="2" fontId="10" fillId="4" borderId="34" xfId="0" applyNumberFormat="1" applyFont="1" applyFill="1" applyBorder="1" applyAlignment="1">
      <alignment horizontal="right" vertical="center" wrapText="1"/>
    </xf>
    <xf numFmtId="2" fontId="10" fillId="4" borderId="35" xfId="0" applyNumberFormat="1" applyFont="1" applyFill="1" applyBorder="1" applyAlignment="1">
      <alignment horizontal="right" vertical="center" wrapText="1"/>
    </xf>
    <xf numFmtId="0" fontId="10" fillId="3" borderId="36" xfId="0" applyFont="1" applyFill="1" applyBorder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left" vertical="center" wrapText="1"/>
    </xf>
    <xf numFmtId="0" fontId="10" fillId="4" borderId="38" xfId="0" applyFont="1" applyFill="1" applyBorder="1" applyAlignment="1">
      <alignment horizontal="left" vertical="center" wrapText="1"/>
    </xf>
    <xf numFmtId="0" fontId="10" fillId="4" borderId="39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188" fontId="10" fillId="4" borderId="42" xfId="0" applyNumberFormat="1" applyFont="1" applyFill="1" applyBorder="1" applyAlignment="1">
      <alignment horizontal="center"/>
    </xf>
    <xf numFmtId="2" fontId="10" fillId="4" borderId="42" xfId="0" applyNumberFormat="1" applyFont="1" applyFill="1" applyBorder="1" applyAlignment="1">
      <alignment horizontal="right"/>
    </xf>
    <xf numFmtId="2" fontId="10" fillId="4" borderId="43" xfId="0" applyNumberFormat="1" applyFont="1" applyFill="1" applyBorder="1" applyAlignment="1">
      <alignment horizontal="right"/>
    </xf>
    <xf numFmtId="0" fontId="10" fillId="3" borderId="9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/>
    </xf>
    <xf numFmtId="0" fontId="9" fillId="4" borderId="13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right"/>
    </xf>
    <xf numFmtId="0" fontId="9" fillId="4" borderId="19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0" fillId="4" borderId="19" xfId="0" applyFill="1" applyBorder="1" applyAlignment="1">
      <alignment/>
    </xf>
    <xf numFmtId="0" fontId="0" fillId="0" borderId="20" xfId="0" applyFont="1" applyBorder="1" applyAlignment="1">
      <alignment/>
    </xf>
    <xf numFmtId="0" fontId="10" fillId="3" borderId="13" xfId="0" applyFont="1" applyFill="1" applyBorder="1" applyAlignment="1">
      <alignment horizontal="center"/>
    </xf>
    <xf numFmtId="14" fontId="10" fillId="4" borderId="14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right" vertical="center" wrapText="1"/>
    </xf>
    <xf numFmtId="4" fontId="10" fillId="4" borderId="15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0" fillId="3" borderId="16" xfId="0" applyFont="1" applyFill="1" applyBorder="1" applyAlignment="1">
      <alignment horizontal="center"/>
    </xf>
    <xf numFmtId="14" fontId="10" fillId="4" borderId="17" xfId="0" applyNumberFormat="1" applyFont="1" applyFill="1" applyBorder="1" applyAlignment="1">
      <alignment horizontal="center" vertical="center" wrapText="1"/>
    </xf>
    <xf numFmtId="4" fontId="10" fillId="4" borderId="17" xfId="0" applyNumberFormat="1" applyFont="1" applyFill="1" applyBorder="1" applyAlignment="1">
      <alignment horizontal="right" vertical="center" wrapText="1"/>
    </xf>
    <xf numFmtId="4" fontId="10" fillId="4" borderId="18" xfId="0" applyNumberFormat="1" applyFont="1" applyFill="1" applyBorder="1" applyAlignment="1">
      <alignment horizontal="right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4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28575</xdr:rowOff>
    </xdr:from>
    <xdr:to>
      <xdr:col>1</xdr:col>
      <xdr:colOff>1362075</xdr:colOff>
      <xdr:row>0</xdr:row>
      <xdr:rowOff>1047750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8575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Confidential%20Tariff%20October%202006%20-%20March%202007%20E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Dollar Rate"/>
      <sheetName val="Куала Лумпур"/>
      <sheetName val="Кота Кинабалу"/>
      <sheetName val="Пенанг"/>
      <sheetName val="Др. Регионы"/>
      <sheetName val="Туры"/>
      <sheetName val="Трансферы"/>
      <sheetName val="Автобус"/>
      <sheetName val="Авиаперелеты"/>
      <sheetName val="Примечания"/>
    </sheetNames>
    <sheetDataSet>
      <sheetData sheetId="1">
        <row r="26">
          <cell r="J26">
            <v>2.99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110" zoomScaleNormal="110" workbookViewId="0" topLeftCell="A1">
      <pane ySplit="4" topLeftCell="BM5" activePane="bottomLeft" state="frozen"/>
      <selection pane="topLeft" activeCell="A1" sqref="A1"/>
      <selection pane="bottomLeft" activeCell="E117" sqref="E117"/>
    </sheetView>
  </sheetViews>
  <sheetFormatPr defaultColWidth="9.140625" defaultRowHeight="12.75"/>
  <cols>
    <col min="1" max="1" width="7.7109375" style="8" customWidth="1"/>
    <col min="2" max="2" width="24.8515625" style="8" customWidth="1"/>
    <col min="3" max="3" width="8.28125" style="8" customWidth="1"/>
    <col min="4" max="4" width="9.7109375" style="8" customWidth="1"/>
    <col min="5" max="5" width="9.8515625" style="8" customWidth="1"/>
    <col min="6" max="12" width="8.28125" style="8" customWidth="1"/>
    <col min="13" max="13" width="7.57421875" style="8" customWidth="1"/>
    <col min="14" max="14" width="5.8515625" style="8" hidden="1" customWidth="1"/>
    <col min="15" max="16384" width="9.140625" style="8" customWidth="1"/>
  </cols>
  <sheetData>
    <row r="1" spans="3:13" ht="84.75" customHeight="1" thickBot="1">
      <c r="C1" s="163" t="s">
        <v>79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4.25" thickBot="1" thickTop="1">
      <c r="A2" s="1"/>
      <c r="B2" s="2" t="s">
        <v>0</v>
      </c>
      <c r="C2" s="3" t="s">
        <v>1</v>
      </c>
      <c r="D2" s="2" t="s">
        <v>2</v>
      </c>
      <c r="E2" s="4"/>
      <c r="F2" s="2" t="s">
        <v>3</v>
      </c>
      <c r="G2" s="4"/>
      <c r="H2" s="4"/>
      <c r="I2" s="5" t="s">
        <v>4</v>
      </c>
      <c r="J2" s="6"/>
      <c r="K2" s="5" t="s">
        <v>5</v>
      </c>
      <c r="L2" s="7"/>
      <c r="M2" s="6"/>
    </row>
    <row r="3" spans="1:13" ht="14.25" thickBot="1" thickTop="1">
      <c r="A3" s="9"/>
      <c r="B3" s="4"/>
      <c r="C3" s="10"/>
      <c r="D3" s="4"/>
      <c r="E3" s="4"/>
      <c r="F3" s="4"/>
      <c r="G3" s="4"/>
      <c r="H3" s="4"/>
      <c r="I3" s="11"/>
      <c r="J3" s="12"/>
      <c r="K3" s="11"/>
      <c r="L3" s="13"/>
      <c r="M3" s="12"/>
    </row>
    <row r="4" spans="1:13" ht="14.25" thickBot="1" thickTop="1">
      <c r="A4" s="14"/>
      <c r="B4" s="4"/>
      <c r="C4" s="15"/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10</v>
      </c>
      <c r="J4" s="16" t="s">
        <v>11</v>
      </c>
      <c r="K4" s="16" t="s">
        <v>11</v>
      </c>
      <c r="L4" s="16" t="s">
        <v>12</v>
      </c>
      <c r="M4" s="16" t="s">
        <v>13</v>
      </c>
    </row>
    <row r="5" spans="1:2" s="19" customFormat="1" ht="14.25" thickBot="1" thickTop="1">
      <c r="A5" s="17"/>
      <c r="B5" s="18"/>
    </row>
    <row r="6" spans="1:2" s="22" customFormat="1" ht="14.25" thickBot="1" thickTop="1">
      <c r="A6" s="20" t="s">
        <v>14</v>
      </c>
      <c r="B6" s="21"/>
    </row>
    <row r="7" spans="1:2" s="22" customFormat="1" ht="14.25" thickBot="1" thickTop="1">
      <c r="A7" s="23"/>
      <c r="B7" s="24" t="s">
        <v>15</v>
      </c>
    </row>
    <row r="8" spans="1:2" s="19" customFormat="1" ht="14.25" thickBot="1" thickTop="1">
      <c r="A8" s="17"/>
      <c r="B8" s="18"/>
    </row>
    <row r="9" spans="1:2" ht="13.5" thickTop="1">
      <c r="A9" s="25" t="s">
        <v>16</v>
      </c>
      <c r="B9" s="26" t="s">
        <v>17</v>
      </c>
    </row>
    <row r="10" spans="1:13" ht="13.5" customHeight="1">
      <c r="A10" s="27"/>
      <c r="B10" s="28" t="s">
        <v>18</v>
      </c>
      <c r="C10" s="29" t="s">
        <v>19</v>
      </c>
      <c r="D10" s="30">
        <v>38991</v>
      </c>
      <c r="E10" s="31">
        <v>39071</v>
      </c>
      <c r="F10" s="32">
        <f>CEILING(1483/'[1]Dollar Rate'!J26,1)</f>
        <v>496</v>
      </c>
      <c r="G10" s="32">
        <f>CEILING(1483/'[1]Dollar Rate'!J26,1)</f>
        <v>496</v>
      </c>
      <c r="H10" s="32" t="s">
        <v>20</v>
      </c>
      <c r="I10" s="32" t="s">
        <v>20</v>
      </c>
      <c r="J10" s="32">
        <f>CEILING(109/'[1]Dollar Rate'!J26,1)</f>
        <v>37</v>
      </c>
      <c r="K10" s="32">
        <f>CEILING(109/'[1]Dollar Rate'!J26,1)</f>
        <v>37</v>
      </c>
      <c r="L10" s="32">
        <f>CEILING(250/'[1]Dollar Rate'!J26,1)</f>
        <v>84</v>
      </c>
      <c r="M10" s="33">
        <f>CEILING(356/'[1]Dollar Rate'!J26,1)</f>
        <v>120</v>
      </c>
    </row>
    <row r="11" spans="1:13" ht="12.75">
      <c r="A11" s="34"/>
      <c r="B11" s="35"/>
      <c r="C11" s="36"/>
      <c r="D11" s="37"/>
      <c r="E11" s="38"/>
      <c r="F11" s="39"/>
      <c r="G11" s="39"/>
      <c r="H11" s="39"/>
      <c r="I11" s="39"/>
      <c r="J11" s="39"/>
      <c r="K11" s="39"/>
      <c r="L11" s="39"/>
      <c r="M11" s="40"/>
    </row>
    <row r="12" spans="1:13" ht="12.75">
      <c r="A12" s="34"/>
      <c r="B12" s="35"/>
      <c r="C12" s="41" t="s">
        <v>21</v>
      </c>
      <c r="D12" s="37">
        <v>38991</v>
      </c>
      <c r="E12" s="38">
        <v>39071</v>
      </c>
      <c r="F12" s="39">
        <f>CEILING(3550/'[1]Dollar Rate'!J26,1)</f>
        <v>1188</v>
      </c>
      <c r="G12" s="39">
        <f>CEILING(3550/'[1]Dollar Rate'!J26,1)</f>
        <v>1188</v>
      </c>
      <c r="H12" s="39" t="s">
        <v>20</v>
      </c>
      <c r="I12" s="39" t="s">
        <v>22</v>
      </c>
      <c r="J12" s="39">
        <f>CEILING(109/'[1]Dollar Rate'!J26,1)</f>
        <v>37</v>
      </c>
      <c r="K12" s="39">
        <f>CEILING(109/'[1]Dollar Rate'!J26,1)</f>
        <v>37</v>
      </c>
      <c r="L12" s="39">
        <f>CEILING(250/'[1]Dollar Rate'!J26,1)</f>
        <v>84</v>
      </c>
      <c r="M12" s="40">
        <f>CEILING(356/'[1]Dollar Rate'!J26,1)</f>
        <v>120</v>
      </c>
    </row>
    <row r="13" spans="1:13" ht="12.75">
      <c r="A13" s="34"/>
      <c r="B13" s="35"/>
      <c r="C13" s="41"/>
      <c r="D13" s="37"/>
      <c r="E13" s="38"/>
      <c r="F13" s="39"/>
      <c r="G13" s="39"/>
      <c r="H13" s="39"/>
      <c r="I13" s="39"/>
      <c r="J13" s="39"/>
      <c r="K13" s="39"/>
      <c r="L13" s="39"/>
      <c r="M13" s="40"/>
    </row>
    <row r="14" spans="1:13" ht="12.75" customHeight="1">
      <c r="A14" s="34"/>
      <c r="B14" s="35"/>
      <c r="C14" s="41" t="s">
        <v>23</v>
      </c>
      <c r="D14" s="37">
        <v>38991</v>
      </c>
      <c r="E14" s="38">
        <v>39071</v>
      </c>
      <c r="F14" s="39">
        <f>CEILING(6840/'[1]Dollar Rate'!J26,1)</f>
        <v>2288</v>
      </c>
      <c r="G14" s="39">
        <f>CEILING(6840/'[1]Dollar Rate'!J26,1)</f>
        <v>2288</v>
      </c>
      <c r="H14" s="39" t="s">
        <v>20</v>
      </c>
      <c r="I14" s="39" t="s">
        <v>22</v>
      </c>
      <c r="J14" s="39">
        <f>CEILING(109/'[1]Dollar Rate'!J26,1)</f>
        <v>37</v>
      </c>
      <c r="K14" s="39">
        <f>CEILING(109/'[1]Dollar Rate'!J26,1)</f>
        <v>37</v>
      </c>
      <c r="L14" s="39">
        <f>CEILING(250/'[1]Dollar Rate'!J26,1)</f>
        <v>84</v>
      </c>
      <c r="M14" s="40">
        <f>CEILING(356/'[1]Dollar Rate'!J26,1)</f>
        <v>120</v>
      </c>
    </row>
    <row r="15" spans="1:13" ht="12.75">
      <c r="A15" s="34"/>
      <c r="B15" s="35"/>
      <c r="C15" s="41"/>
      <c r="D15" s="37"/>
      <c r="E15" s="38"/>
      <c r="F15" s="39"/>
      <c r="G15" s="39"/>
      <c r="H15" s="39"/>
      <c r="I15" s="39"/>
      <c r="J15" s="39"/>
      <c r="K15" s="39"/>
      <c r="L15" s="39"/>
      <c r="M15" s="40"/>
    </row>
    <row r="16" spans="1:13" ht="12.75">
      <c r="A16" s="34"/>
      <c r="B16" s="35"/>
      <c r="C16" s="41" t="s">
        <v>24</v>
      </c>
      <c r="D16" s="37">
        <v>38991</v>
      </c>
      <c r="E16" s="38">
        <v>39071</v>
      </c>
      <c r="F16" s="39">
        <f>CEILING(14800/'[1]Dollar Rate'!J26,1)</f>
        <v>4950</v>
      </c>
      <c r="G16" s="39">
        <f>CEILING(14800/'[1]Dollar Rate'!J26,1)</f>
        <v>4950</v>
      </c>
      <c r="H16" s="39" t="s">
        <v>20</v>
      </c>
      <c r="I16" s="39" t="s">
        <v>22</v>
      </c>
      <c r="J16" s="39">
        <f>CEILING(109/'[1]Dollar Rate'!J26,1)</f>
        <v>37</v>
      </c>
      <c r="K16" s="39">
        <f>CEILING(109/'[1]Dollar Rate'!J26,1)</f>
        <v>37</v>
      </c>
      <c r="L16" s="39">
        <f>CEILING(250/'[1]Dollar Rate'!J26,1)</f>
        <v>84</v>
      </c>
      <c r="M16" s="40">
        <f>CEILING(356/'[1]Dollar Rate'!J26,1)</f>
        <v>120</v>
      </c>
    </row>
    <row r="17" spans="1:13" ht="12.75">
      <c r="A17" s="42"/>
      <c r="B17" s="43"/>
      <c r="C17" s="44"/>
      <c r="D17" s="45"/>
      <c r="E17" s="46"/>
      <c r="F17" s="47"/>
      <c r="G17" s="47"/>
      <c r="H17" s="47"/>
      <c r="I17" s="47"/>
      <c r="J17" s="47"/>
      <c r="K17" s="47"/>
      <c r="L17" s="47"/>
      <c r="M17" s="48"/>
    </row>
    <row r="18" spans="1:13" ht="12.75">
      <c r="A18" s="27"/>
      <c r="B18" s="49" t="s">
        <v>25</v>
      </c>
      <c r="C18" s="50" t="s">
        <v>26</v>
      </c>
      <c r="D18" s="51">
        <v>38991</v>
      </c>
      <c r="E18" s="51">
        <v>39070</v>
      </c>
      <c r="F18" s="52">
        <f>CEILING(600/'[1]Dollar Rate'!J26,1)</f>
        <v>201</v>
      </c>
      <c r="G18" s="52">
        <f>CEILING(600/'[1]Dollar Rate'!J26,1)</f>
        <v>201</v>
      </c>
      <c r="H18" s="52">
        <f>CEILING(180/'[1]Dollar Rate'!$J$26,1)</f>
        <v>61</v>
      </c>
      <c r="I18" s="52" t="s">
        <v>22</v>
      </c>
      <c r="J18" s="52">
        <f>CEILING(77/'[1]Dollar Rate'!$J$26,1)</f>
        <v>26</v>
      </c>
      <c r="K18" s="52">
        <f>CEILING(87/'[1]Dollar Rate'!J26,1)</f>
        <v>30</v>
      </c>
      <c r="L18" s="52" t="s">
        <v>27</v>
      </c>
      <c r="M18" s="53">
        <f>CEILING(180/'[1]Dollar Rate'!J26,1)</f>
        <v>61</v>
      </c>
    </row>
    <row r="19" spans="1:13" ht="12.75">
      <c r="A19" s="54"/>
      <c r="B19" s="55"/>
      <c r="C19" s="56"/>
      <c r="D19" s="57">
        <v>39071</v>
      </c>
      <c r="E19" s="57">
        <v>39092</v>
      </c>
      <c r="F19" s="58">
        <f>CEILING(1200/'[1]Dollar Rate'!J26,1)</f>
        <v>402</v>
      </c>
      <c r="G19" s="58">
        <f>CEILING(1200/'[1]Dollar Rate'!J26,1)</f>
        <v>402</v>
      </c>
      <c r="H19" s="58">
        <f>CEILING(180/'[1]Dollar Rate'!$J$26,1)</f>
        <v>61</v>
      </c>
      <c r="I19" s="58" t="s">
        <v>22</v>
      </c>
      <c r="J19" s="58">
        <f>CEILING(77/'[1]Dollar Rate'!$J$26,1)</f>
        <v>26</v>
      </c>
      <c r="K19" s="58">
        <f>CEILING(87/'[1]Dollar Rate'!J26,1)</f>
        <v>30</v>
      </c>
      <c r="L19" s="58" t="s">
        <v>27</v>
      </c>
      <c r="M19" s="59">
        <f>CEILING(180/'[1]Dollar Rate'!J26,1)</f>
        <v>61</v>
      </c>
    </row>
    <row r="20" spans="1:13" ht="12.75">
      <c r="A20" s="54"/>
      <c r="B20" s="55"/>
      <c r="C20" s="60" t="s">
        <v>28</v>
      </c>
      <c r="D20" s="57">
        <v>38991</v>
      </c>
      <c r="E20" s="57">
        <v>39070</v>
      </c>
      <c r="F20" s="58">
        <f>CEILING(990/'[1]Dollar Rate'!J26,1)</f>
        <v>332</v>
      </c>
      <c r="G20" s="58">
        <f>CEILING(990/'[1]Dollar Rate'!J26,1)</f>
        <v>332</v>
      </c>
      <c r="H20" s="58">
        <f>CEILING(180/'[1]Dollar Rate'!$J$26,1)</f>
        <v>61</v>
      </c>
      <c r="I20" s="58" t="s">
        <v>22</v>
      </c>
      <c r="J20" s="58">
        <f>CEILING(77/'[1]Dollar Rate'!$J$26,1)</f>
        <v>26</v>
      </c>
      <c r="K20" s="58">
        <f>CEILING(87/'[1]Dollar Rate'!J26,1)</f>
        <v>30</v>
      </c>
      <c r="L20" s="58" t="s">
        <v>27</v>
      </c>
      <c r="M20" s="59">
        <f>CEILING(180/'[1]Dollar Rate'!J26,1)</f>
        <v>61</v>
      </c>
    </row>
    <row r="21" spans="1:13" ht="12.75">
      <c r="A21" s="61"/>
      <c r="B21" s="62"/>
      <c r="C21" s="63"/>
      <c r="D21" s="64">
        <v>39071</v>
      </c>
      <c r="E21" s="64">
        <v>39092</v>
      </c>
      <c r="F21" s="65">
        <f>CEILING(1490/'[1]Dollar Rate'!J26,1)</f>
        <v>499</v>
      </c>
      <c r="G21" s="65">
        <f>CEILING(1490/'[1]Dollar Rate'!J26,1)</f>
        <v>499</v>
      </c>
      <c r="H21" s="65">
        <f>CEILING(180/'[1]Dollar Rate'!$J$26,1)</f>
        <v>61</v>
      </c>
      <c r="I21" s="65" t="s">
        <v>22</v>
      </c>
      <c r="J21" s="65">
        <f>CEILING(77/'[1]Dollar Rate'!$J$26,1)</f>
        <v>26</v>
      </c>
      <c r="K21" s="65">
        <f>CEILING(87/'[1]Dollar Rate'!J26,1)</f>
        <v>30</v>
      </c>
      <c r="L21" s="65" t="s">
        <v>27</v>
      </c>
      <c r="M21" s="66">
        <f>CEILING(180/'[1]Dollar Rate'!J26,1)</f>
        <v>61</v>
      </c>
    </row>
    <row r="22" spans="1:13" ht="12.75">
      <c r="A22" s="27"/>
      <c r="B22" s="67" t="s">
        <v>29</v>
      </c>
      <c r="C22" s="50" t="s">
        <v>30</v>
      </c>
      <c r="D22" s="51">
        <v>38991</v>
      </c>
      <c r="E22" s="51">
        <v>39021</v>
      </c>
      <c r="F22" s="52">
        <f>CEILING(985/'[1]Dollar Rate'!J26,1)</f>
        <v>330</v>
      </c>
      <c r="G22" s="52">
        <f>CEILING(985/'[1]Dollar Rate'!J26,1)</f>
        <v>330</v>
      </c>
      <c r="H22" s="52">
        <f>CEILING(190/'[1]Dollar Rate'!$J$26,1)</f>
        <v>64</v>
      </c>
      <c r="I22" s="52" t="s">
        <v>22</v>
      </c>
      <c r="J22" s="52">
        <f>CEILING(88/'[1]Dollar Rate'!$J$26,1)</f>
        <v>30</v>
      </c>
      <c r="K22" s="52">
        <f>CEILING(98/'[1]Dollar Rate'!J26,1)</f>
        <v>33</v>
      </c>
      <c r="L22" s="52" t="s">
        <v>27</v>
      </c>
      <c r="M22" s="53">
        <f>CEILING(200/'[1]Dollar Rate'!J26,1)</f>
        <v>67</v>
      </c>
    </row>
    <row r="23" spans="1:13" ht="12.75">
      <c r="A23" s="34"/>
      <c r="B23" s="68"/>
      <c r="C23" s="60"/>
      <c r="D23" s="57">
        <v>39022</v>
      </c>
      <c r="E23" s="57">
        <v>39070</v>
      </c>
      <c r="F23" s="58">
        <f>CEILING(1245/'[1]Dollar Rate'!J26,1)</f>
        <v>417</v>
      </c>
      <c r="G23" s="58">
        <f>CEILING(1245/'[1]Dollar Rate'!J26,1)</f>
        <v>417</v>
      </c>
      <c r="H23" s="58">
        <f>CEILING(190/'[1]Dollar Rate'!$J$26,1)</f>
        <v>64</v>
      </c>
      <c r="I23" s="58" t="s">
        <v>22</v>
      </c>
      <c r="J23" s="58">
        <f>CEILING(88/'[1]Dollar Rate'!$J$26,1)</f>
        <v>30</v>
      </c>
      <c r="K23" s="58">
        <f>CEILING(98/'[1]Dollar Rate'!J26,1)</f>
        <v>33</v>
      </c>
      <c r="L23" s="58" t="s">
        <v>27</v>
      </c>
      <c r="M23" s="59">
        <f>CEILING(200/'[1]Dollar Rate'!J26,1)</f>
        <v>67</v>
      </c>
    </row>
    <row r="24" spans="1:13" ht="12.75">
      <c r="A24" s="54"/>
      <c r="B24" s="69"/>
      <c r="C24" s="56"/>
      <c r="D24" s="57">
        <v>39071</v>
      </c>
      <c r="E24" s="57">
        <v>39097</v>
      </c>
      <c r="F24" s="58">
        <f>CEILING(1740/'[1]Dollar Rate'!J26,1)</f>
        <v>582</v>
      </c>
      <c r="G24" s="58">
        <f>CEILING(1740/'[1]Dollar Rate'!J26,1)</f>
        <v>582</v>
      </c>
      <c r="H24" s="58">
        <f>CEILING(190/'[1]Dollar Rate'!$J$26,1)</f>
        <v>64</v>
      </c>
      <c r="I24" s="58" t="s">
        <v>22</v>
      </c>
      <c r="J24" s="58">
        <f>CEILING(88/'[1]Dollar Rate'!$J$26,1)</f>
        <v>30</v>
      </c>
      <c r="K24" s="58">
        <f>CEILING(98/'[1]Dollar Rate'!J26,1)</f>
        <v>33</v>
      </c>
      <c r="L24" s="58" t="s">
        <v>27</v>
      </c>
      <c r="M24" s="59">
        <f>CEILING(200/'[1]Dollar Rate'!J26,1)</f>
        <v>67</v>
      </c>
    </row>
    <row r="25" spans="1:13" ht="12.75">
      <c r="A25" s="54"/>
      <c r="B25" s="69"/>
      <c r="C25" s="60" t="s">
        <v>31</v>
      </c>
      <c r="D25" s="57">
        <v>38991</v>
      </c>
      <c r="E25" s="57">
        <v>39021</v>
      </c>
      <c r="F25" s="58">
        <f>CEILING(1205/'[1]Dollar Rate'!J26,1)</f>
        <v>404</v>
      </c>
      <c r="G25" s="58">
        <f>CEILING(1205/'[1]Dollar Rate'!J26,1)</f>
        <v>404</v>
      </c>
      <c r="H25" s="58">
        <f>CEILING(190/'[1]Dollar Rate'!$J$26,1)</f>
        <v>64</v>
      </c>
      <c r="I25" s="58" t="s">
        <v>22</v>
      </c>
      <c r="J25" s="58">
        <f>CEILING(88/'[1]Dollar Rate'!$J$26,1)</f>
        <v>30</v>
      </c>
      <c r="K25" s="58">
        <f>CEILING(98/'[1]Dollar Rate'!J26,1)</f>
        <v>33</v>
      </c>
      <c r="L25" s="58" t="s">
        <v>27</v>
      </c>
      <c r="M25" s="59">
        <f>CEILING(200/'[1]Dollar Rate'!J26,1)</f>
        <v>67</v>
      </c>
    </row>
    <row r="26" spans="1:13" ht="12.75">
      <c r="A26" s="54"/>
      <c r="B26" s="69"/>
      <c r="C26" s="60"/>
      <c r="D26" s="57">
        <v>39022</v>
      </c>
      <c r="E26" s="57">
        <v>39070</v>
      </c>
      <c r="F26" s="58">
        <f>CEILING(1445/'[1]Dollar Rate'!J26,1)</f>
        <v>484</v>
      </c>
      <c r="G26" s="58">
        <f>CEILING(1445/'[1]Dollar Rate'!J26,1)</f>
        <v>484</v>
      </c>
      <c r="H26" s="58">
        <f>CEILING(190/'[1]Dollar Rate'!$J$26,1)</f>
        <v>64</v>
      </c>
      <c r="I26" s="58" t="s">
        <v>22</v>
      </c>
      <c r="J26" s="58">
        <f>CEILING(88/'[1]Dollar Rate'!$J$26,1)</f>
        <v>30</v>
      </c>
      <c r="K26" s="58">
        <f>CEILING(98/'[1]Dollar Rate'!J26,1)</f>
        <v>33</v>
      </c>
      <c r="L26" s="58" t="s">
        <v>27</v>
      </c>
      <c r="M26" s="59">
        <f>CEILING(200/'[1]Dollar Rate'!J26,1)</f>
        <v>67</v>
      </c>
    </row>
    <row r="27" spans="1:13" ht="12.75">
      <c r="A27" s="61"/>
      <c r="B27" s="70"/>
      <c r="C27" s="71"/>
      <c r="D27" s="64">
        <v>39071</v>
      </c>
      <c r="E27" s="64">
        <v>39097</v>
      </c>
      <c r="F27" s="65">
        <f>CEILING(1965/'[1]Dollar Rate'!J26,1)</f>
        <v>658</v>
      </c>
      <c r="G27" s="65">
        <f>CEILING(1965/'[1]Dollar Rate'!J26,1)</f>
        <v>658</v>
      </c>
      <c r="H27" s="65">
        <f>CEILING(190/'[1]Dollar Rate'!$J$26,1)</f>
        <v>64</v>
      </c>
      <c r="I27" s="65" t="s">
        <v>22</v>
      </c>
      <c r="J27" s="65">
        <f>CEILING(88/'[1]Dollar Rate'!$J$26,1)</f>
        <v>30</v>
      </c>
      <c r="K27" s="65">
        <f>CEILING(98/'[1]Dollar Rate'!J26,1)</f>
        <v>33</v>
      </c>
      <c r="L27" s="65" t="s">
        <v>27</v>
      </c>
      <c r="M27" s="66">
        <f>CEILING(200/'[1]Dollar Rate'!J26,1)</f>
        <v>67</v>
      </c>
    </row>
    <row r="28" spans="1:13" ht="12.75">
      <c r="A28" s="72"/>
      <c r="B28" s="28" t="s">
        <v>32</v>
      </c>
      <c r="C28" s="29" t="s">
        <v>26</v>
      </c>
      <c r="D28" s="51">
        <v>38991</v>
      </c>
      <c r="E28" s="51" t="s">
        <v>33</v>
      </c>
      <c r="F28" s="52">
        <f>CEILING(440/'[1]Dollar Rate'!J26,1)</f>
        <v>148</v>
      </c>
      <c r="G28" s="52">
        <f>CEILING(440/'[1]Dollar Rate'!J26,1)</f>
        <v>148</v>
      </c>
      <c r="H28" s="52" t="s">
        <v>20</v>
      </c>
      <c r="I28" s="52" t="s">
        <v>20</v>
      </c>
      <c r="J28" s="52">
        <f>CEILING(40/'[1]Dollar Rate'!J26,1)</f>
        <v>14</v>
      </c>
      <c r="K28" s="52" t="s">
        <v>34</v>
      </c>
      <c r="L28" s="52">
        <f>CEILING(65/'[1]Dollar Rate'!J26,1)</f>
        <v>22</v>
      </c>
      <c r="M28" s="53">
        <f>CEILING(115/'[1]Dollar Rate'!J26,1)</f>
        <v>39</v>
      </c>
    </row>
    <row r="29" spans="1:13" ht="12.75">
      <c r="A29" s="73"/>
      <c r="B29" s="35"/>
      <c r="C29" s="41"/>
      <c r="D29" s="57">
        <v>39052</v>
      </c>
      <c r="E29" s="57">
        <v>39070</v>
      </c>
      <c r="F29" s="58">
        <f>CEILING(470/'[1]Dollar Rate'!J26,1)</f>
        <v>158</v>
      </c>
      <c r="G29" s="58">
        <f>CEILING(470/'[1]Dollar Rate'!J26,1)</f>
        <v>158</v>
      </c>
      <c r="H29" s="58" t="s">
        <v>20</v>
      </c>
      <c r="I29" s="58" t="s">
        <v>20</v>
      </c>
      <c r="J29" s="58">
        <f>CEILING(40/'[1]Dollar Rate'!J26,1)</f>
        <v>14</v>
      </c>
      <c r="K29" s="58" t="s">
        <v>34</v>
      </c>
      <c r="L29" s="58">
        <f>CEILING(65/'[1]Dollar Rate'!J26,1)</f>
        <v>22</v>
      </c>
      <c r="M29" s="59">
        <f>CEILING(115/'[1]Dollar Rate'!J26,1)</f>
        <v>39</v>
      </c>
    </row>
    <row r="30" spans="1:13" ht="12.75">
      <c r="A30" s="73"/>
      <c r="B30" s="35"/>
      <c r="C30" s="41"/>
      <c r="D30" s="57">
        <v>39071</v>
      </c>
      <c r="E30" s="57">
        <v>39092</v>
      </c>
      <c r="F30" s="58">
        <f>CEILING(580/'[1]Dollar Rate'!J26,1)</f>
        <v>194</v>
      </c>
      <c r="G30" s="58">
        <f>CEILING(580/'[1]Dollar Rate'!J26,1)</f>
        <v>194</v>
      </c>
      <c r="H30" s="58" t="s">
        <v>20</v>
      </c>
      <c r="I30" s="58" t="s">
        <v>20</v>
      </c>
      <c r="J30" s="58">
        <f>CEILING(40/'[1]Dollar Rate'!J26,1)</f>
        <v>14</v>
      </c>
      <c r="K30" s="58" t="s">
        <v>34</v>
      </c>
      <c r="L30" s="58">
        <f>CEILING(65/'[1]Dollar Rate'!J26,1)</f>
        <v>22</v>
      </c>
      <c r="M30" s="59">
        <f>CEILING(115/'[1]Dollar Rate'!J26,1)</f>
        <v>39</v>
      </c>
    </row>
    <row r="31" spans="1:13" ht="12.75">
      <c r="A31" s="73"/>
      <c r="B31" s="35"/>
      <c r="C31" s="41"/>
      <c r="D31" s="57">
        <v>39093</v>
      </c>
      <c r="E31" s="57">
        <v>39172</v>
      </c>
      <c r="F31" s="58">
        <f>CEILING(470/'[1]Dollar Rate'!J26,1)</f>
        <v>158</v>
      </c>
      <c r="G31" s="58">
        <f>CEILING(470/'[1]Dollar Rate'!J26,1)</f>
        <v>158</v>
      </c>
      <c r="H31" s="58" t="s">
        <v>20</v>
      </c>
      <c r="I31" s="58" t="s">
        <v>20</v>
      </c>
      <c r="J31" s="58">
        <f>CEILING(40/'[1]Dollar Rate'!J26,1)</f>
        <v>14</v>
      </c>
      <c r="K31" s="58" t="s">
        <v>34</v>
      </c>
      <c r="L31" s="58">
        <f>CEILING(65/'[1]Dollar Rate'!J26,1)</f>
        <v>22</v>
      </c>
      <c r="M31" s="59">
        <f>CEILING(115/'[1]Dollar Rate'!J26,1)</f>
        <v>39</v>
      </c>
    </row>
    <row r="32" spans="1:13" ht="12.75">
      <c r="A32" s="73"/>
      <c r="B32" s="35"/>
      <c r="C32" s="41" t="s">
        <v>35</v>
      </c>
      <c r="D32" s="57">
        <v>38991</v>
      </c>
      <c r="E32" s="57" t="s">
        <v>33</v>
      </c>
      <c r="F32" s="58">
        <f>CEILING(640/'[1]Dollar Rate'!J26,1)</f>
        <v>215</v>
      </c>
      <c r="G32" s="58">
        <f>CEILING(640/'[1]Dollar Rate'!J26,1)</f>
        <v>215</v>
      </c>
      <c r="H32" s="58">
        <f>CEILING(60/'[1]Dollar Rate'!J26,1)</f>
        <v>21</v>
      </c>
      <c r="I32" s="58" t="s">
        <v>22</v>
      </c>
      <c r="J32" s="58">
        <f>CEILING(40/'[1]Dollar Rate'!J26,1)</f>
        <v>14</v>
      </c>
      <c r="K32" s="58" t="s">
        <v>34</v>
      </c>
      <c r="L32" s="58">
        <f>CEILING(65/'[1]Dollar Rate'!J26,1)</f>
        <v>22</v>
      </c>
      <c r="M32" s="59">
        <f>CEILING(115/'[1]Dollar Rate'!J26,1)</f>
        <v>39</v>
      </c>
    </row>
    <row r="33" spans="1:13" ht="12.75">
      <c r="A33" s="73"/>
      <c r="B33" s="35"/>
      <c r="C33" s="41"/>
      <c r="D33" s="57">
        <v>39052</v>
      </c>
      <c r="E33" s="57">
        <v>39070</v>
      </c>
      <c r="F33" s="58">
        <f>CEILING(690/'[1]Dollar Rate'!J26,1)</f>
        <v>231</v>
      </c>
      <c r="G33" s="58">
        <f>CEILING(690/'[1]Dollar Rate'!J26,1)</f>
        <v>231</v>
      </c>
      <c r="H33" s="58">
        <f>CEILING(60/'[1]Dollar Rate'!J26,1)</f>
        <v>21</v>
      </c>
      <c r="I33" s="58" t="s">
        <v>22</v>
      </c>
      <c r="J33" s="58">
        <f>CEILING(40/'[1]Dollar Rate'!J26,1)</f>
        <v>14</v>
      </c>
      <c r="K33" s="58" t="s">
        <v>34</v>
      </c>
      <c r="L33" s="58">
        <f>CEILING(65/'[1]Dollar Rate'!J26,1)</f>
        <v>22</v>
      </c>
      <c r="M33" s="59">
        <f>CEILING(115/'[1]Dollar Rate'!J26,1)</f>
        <v>39</v>
      </c>
    </row>
    <row r="34" spans="1:13" ht="12.75">
      <c r="A34" s="73"/>
      <c r="B34" s="35"/>
      <c r="C34" s="41"/>
      <c r="D34" s="57">
        <v>39071</v>
      </c>
      <c r="E34" s="57">
        <v>39092</v>
      </c>
      <c r="F34" s="58">
        <f>CEILING(840/'[1]Dollar Rate'!J26,1)</f>
        <v>281</v>
      </c>
      <c r="G34" s="58">
        <f>CEILING(840/'[1]Dollar Rate'!J26,1)</f>
        <v>281</v>
      </c>
      <c r="H34" s="58">
        <f>CEILING(60/'[1]Dollar Rate'!J26,1)</f>
        <v>21</v>
      </c>
      <c r="I34" s="58" t="s">
        <v>22</v>
      </c>
      <c r="J34" s="58">
        <f>CEILING(40/'[1]Dollar Rate'!J26,1)</f>
        <v>14</v>
      </c>
      <c r="K34" s="58" t="s">
        <v>34</v>
      </c>
      <c r="L34" s="58">
        <f>CEILING(65/'[1]Dollar Rate'!J26,1)</f>
        <v>22</v>
      </c>
      <c r="M34" s="59">
        <f>CEILING(115/'[1]Dollar Rate'!J26,1)</f>
        <v>39</v>
      </c>
    </row>
    <row r="35" spans="1:13" ht="20.25" customHeight="1">
      <c r="A35" s="74"/>
      <c r="B35" s="43"/>
      <c r="C35" s="44"/>
      <c r="D35" s="64">
        <v>39093</v>
      </c>
      <c r="E35" s="64">
        <v>39172</v>
      </c>
      <c r="F35" s="65">
        <f>CEILING(690/'[1]Dollar Rate'!J26,1)</f>
        <v>231</v>
      </c>
      <c r="G35" s="65">
        <f>CEILING(690/'[1]Dollar Rate'!J26,1)</f>
        <v>231</v>
      </c>
      <c r="H35" s="65">
        <f>CEILING(60/'[1]Dollar Rate'!J26,1)</f>
        <v>21</v>
      </c>
      <c r="I35" s="65" t="s">
        <v>22</v>
      </c>
      <c r="J35" s="65">
        <f>CEILING(40/'[1]Dollar Rate'!J26,1)</f>
        <v>14</v>
      </c>
      <c r="K35" s="65" t="s">
        <v>34</v>
      </c>
      <c r="L35" s="65">
        <f>CEILING(65/'[1]Dollar Rate'!J26,1)</f>
        <v>22</v>
      </c>
      <c r="M35" s="66">
        <f>CEILING(115/'[1]Dollar Rate'!J26,1)</f>
        <v>39</v>
      </c>
    </row>
    <row r="36" spans="1:13" ht="12.75">
      <c r="A36" s="27"/>
      <c r="B36" s="28" t="s">
        <v>36</v>
      </c>
      <c r="C36" s="29" t="s">
        <v>37</v>
      </c>
      <c r="D36" s="51">
        <v>38991</v>
      </c>
      <c r="E36" s="51">
        <v>39051</v>
      </c>
      <c r="F36" s="52">
        <f>CEILING(450/'[1]Dollar Rate'!J26,1)</f>
        <v>151</v>
      </c>
      <c r="G36" s="52">
        <f>CEILING(450/'[1]Dollar Rate'!J26,1)</f>
        <v>151</v>
      </c>
      <c r="H36" s="52">
        <f>CEILING(100/'[1]Dollar Rate'!$J$26,1)</f>
        <v>34</v>
      </c>
      <c r="I36" s="52" t="s">
        <v>22</v>
      </c>
      <c r="J36" s="52">
        <f>CEILING(53/'[1]Dollar Rate'!$J$26,1)</f>
        <v>18</v>
      </c>
      <c r="K36" s="52">
        <f>CEILING(63/'[1]Dollar Rate'!J26,1)</f>
        <v>22</v>
      </c>
      <c r="L36" s="52">
        <f>CEILING(73/'[1]Dollar Rate'!J26,1)</f>
        <v>25</v>
      </c>
      <c r="M36" s="53">
        <f>CEILING(83/'[1]Dollar Rate'!J26,1)</f>
        <v>28</v>
      </c>
    </row>
    <row r="37" spans="1:13" ht="12.75">
      <c r="A37" s="34"/>
      <c r="B37" s="35"/>
      <c r="C37" s="41"/>
      <c r="D37" s="57">
        <v>39052</v>
      </c>
      <c r="E37" s="57">
        <v>39070</v>
      </c>
      <c r="F37" s="58">
        <f>CEILING(535/'[1]Dollar Rate'!J26,1)</f>
        <v>179</v>
      </c>
      <c r="G37" s="58">
        <f>CEILING(535/'[1]Dollar Rate'!J26,1)</f>
        <v>179</v>
      </c>
      <c r="H37" s="58">
        <f>CEILING(100/'[1]Dollar Rate'!$J$26,1)</f>
        <v>34</v>
      </c>
      <c r="I37" s="58" t="s">
        <v>22</v>
      </c>
      <c r="J37" s="58">
        <f>CEILING(53/'[1]Dollar Rate'!$J$26,1)</f>
        <v>18</v>
      </c>
      <c r="K37" s="58">
        <f>CEILING(63/'[1]Dollar Rate'!J26,1)</f>
        <v>22</v>
      </c>
      <c r="L37" s="58">
        <f>CEILING(73/'[1]Dollar Rate'!J26,1)</f>
        <v>25</v>
      </c>
      <c r="M37" s="59">
        <f>CEILING(83/'[1]Dollar Rate'!J26,1)</f>
        <v>28</v>
      </c>
    </row>
    <row r="38" spans="1:13" ht="12.75">
      <c r="A38" s="34"/>
      <c r="B38" s="35"/>
      <c r="C38" s="41"/>
      <c r="D38" s="57">
        <v>39071</v>
      </c>
      <c r="E38" s="57">
        <v>39087</v>
      </c>
      <c r="F38" s="58">
        <f>CEILING(635/'[1]Dollar Rate'!J26,1)</f>
        <v>213</v>
      </c>
      <c r="G38" s="58">
        <f>CEILING(635/'[1]Dollar Rate'!J26,1)</f>
        <v>213</v>
      </c>
      <c r="H38" s="58">
        <f>CEILING(100/'[1]Dollar Rate'!$J$26,1)</f>
        <v>34</v>
      </c>
      <c r="I38" s="58" t="s">
        <v>22</v>
      </c>
      <c r="J38" s="58">
        <f>CEILING(53/'[1]Dollar Rate'!$J$26,1)</f>
        <v>18</v>
      </c>
      <c r="K38" s="58">
        <f>CEILING(63/'[1]Dollar Rate'!J26,1)</f>
        <v>22</v>
      </c>
      <c r="L38" s="58">
        <f>CEILING(73/'[1]Dollar Rate'!J26,1)</f>
        <v>25</v>
      </c>
      <c r="M38" s="59">
        <f>CEILING(83/'[1]Dollar Rate'!J26,1)</f>
        <v>28</v>
      </c>
    </row>
    <row r="39" spans="1:13" ht="12.75">
      <c r="A39" s="34"/>
      <c r="B39" s="35"/>
      <c r="C39" s="41"/>
      <c r="D39" s="57">
        <v>39088</v>
      </c>
      <c r="E39" s="57">
        <v>39141</v>
      </c>
      <c r="F39" s="58">
        <f>CEILING(535/'[1]Dollar Rate'!J26,1)</f>
        <v>179</v>
      </c>
      <c r="G39" s="58">
        <f>CEILING(535/'[1]Dollar Rate'!J26,1)</f>
        <v>179</v>
      </c>
      <c r="H39" s="58">
        <f>CEILING(100/'[1]Dollar Rate'!$J$26,1)</f>
        <v>34</v>
      </c>
      <c r="I39" s="58" t="s">
        <v>22</v>
      </c>
      <c r="J39" s="58">
        <f>CEILING(53/'[1]Dollar Rate'!$J$26,1)</f>
        <v>18</v>
      </c>
      <c r="K39" s="58">
        <f>CEILING(63/'[1]Dollar Rate'!J26,1)</f>
        <v>22</v>
      </c>
      <c r="L39" s="58">
        <f>CEILING(73/'[1]Dollar Rate'!J26,1)</f>
        <v>25</v>
      </c>
      <c r="M39" s="59">
        <f>CEILING(83/'[1]Dollar Rate'!J26,1)</f>
        <v>28</v>
      </c>
    </row>
    <row r="40" spans="1:13" ht="12.75">
      <c r="A40" s="75"/>
      <c r="B40" s="76"/>
      <c r="C40" s="77"/>
      <c r="D40" s="57">
        <v>39142</v>
      </c>
      <c r="E40" s="57">
        <v>39172</v>
      </c>
      <c r="F40" s="58">
        <f>CEILING(485/'[1]Dollar Rate'!J26,1)</f>
        <v>163</v>
      </c>
      <c r="G40" s="58">
        <f>CEILING(485/'[1]Dollar Rate'!J26,1)</f>
        <v>163</v>
      </c>
      <c r="H40" s="58">
        <f>CEILING(100/'[1]Dollar Rate'!$J$26,1)</f>
        <v>34</v>
      </c>
      <c r="I40" s="58" t="s">
        <v>22</v>
      </c>
      <c r="J40" s="58">
        <f>CEILING(53/'[1]Dollar Rate'!$J$26,1)</f>
        <v>18</v>
      </c>
      <c r="K40" s="58">
        <f>CEILING(63/'[1]Dollar Rate'!J26,1)</f>
        <v>22</v>
      </c>
      <c r="L40" s="58">
        <f>CEILING(73/'[1]Dollar Rate'!J26,1)</f>
        <v>25</v>
      </c>
      <c r="M40" s="59">
        <f>CEILING(83/'[1]Dollar Rate'!J26,1)</f>
        <v>28</v>
      </c>
    </row>
    <row r="41" spans="1:13" ht="15.75" customHeight="1">
      <c r="A41" s="75"/>
      <c r="B41" s="76"/>
      <c r="C41" s="41" t="s">
        <v>38</v>
      </c>
      <c r="D41" s="57">
        <v>38991</v>
      </c>
      <c r="E41" s="57">
        <v>39051</v>
      </c>
      <c r="F41" s="58">
        <f>CEILING(480/'[1]Dollar Rate'!J26,1)</f>
        <v>161</v>
      </c>
      <c r="G41" s="58">
        <f>CEILING(480/'[1]Dollar Rate'!J26,1)</f>
        <v>161</v>
      </c>
      <c r="H41" s="58">
        <f>CEILING(100/'[1]Dollar Rate'!$J$26,1)</f>
        <v>34</v>
      </c>
      <c r="I41" s="58" t="s">
        <v>22</v>
      </c>
      <c r="J41" s="58">
        <f>CEILING(53/'[1]Dollar Rate'!$J$26,1)</f>
        <v>18</v>
      </c>
      <c r="K41" s="58">
        <f>CEILING(63/'[1]Dollar Rate'!J26,1)</f>
        <v>22</v>
      </c>
      <c r="L41" s="58">
        <f>CEILING(73/'[1]Dollar Rate'!J26,1)</f>
        <v>25</v>
      </c>
      <c r="M41" s="59">
        <f>CEILING(83/'[1]Dollar Rate'!J26,1)</f>
        <v>28</v>
      </c>
    </row>
    <row r="42" spans="1:13" ht="15.75" customHeight="1">
      <c r="A42" s="75"/>
      <c r="B42" s="76"/>
      <c r="C42" s="41"/>
      <c r="D42" s="57">
        <v>39052</v>
      </c>
      <c r="E42" s="57">
        <v>39070</v>
      </c>
      <c r="F42" s="58">
        <f>CEILING(565/'[1]Dollar Rate'!J26,1)</f>
        <v>189</v>
      </c>
      <c r="G42" s="58">
        <f>CEILING(565/'[1]Dollar Rate'!J26,1)</f>
        <v>189</v>
      </c>
      <c r="H42" s="58">
        <f>CEILING(100/'[1]Dollar Rate'!$J$26,1)</f>
        <v>34</v>
      </c>
      <c r="I42" s="58" t="s">
        <v>22</v>
      </c>
      <c r="J42" s="58">
        <f>CEILING(53/'[1]Dollar Rate'!$J$26,1)</f>
        <v>18</v>
      </c>
      <c r="K42" s="58">
        <f>CEILING(63/'[1]Dollar Rate'!J26,1)</f>
        <v>22</v>
      </c>
      <c r="L42" s="58">
        <f>CEILING(73/'[1]Dollar Rate'!J26,1)</f>
        <v>25</v>
      </c>
      <c r="M42" s="59">
        <f>CEILING(83/'[1]Dollar Rate'!J26,1)</f>
        <v>28</v>
      </c>
    </row>
    <row r="43" spans="1:13" ht="15.75" customHeight="1">
      <c r="A43" s="75"/>
      <c r="B43" s="76"/>
      <c r="C43" s="41"/>
      <c r="D43" s="57">
        <v>39071</v>
      </c>
      <c r="E43" s="57">
        <v>39087</v>
      </c>
      <c r="F43" s="58">
        <f>CEILING(665/'[1]Dollar Rate'!J26,1)</f>
        <v>223</v>
      </c>
      <c r="G43" s="58">
        <f>CEILING(665/'[1]Dollar Rate'!J26,1)</f>
        <v>223</v>
      </c>
      <c r="H43" s="58">
        <f>CEILING(100/'[1]Dollar Rate'!$J$26,1)</f>
        <v>34</v>
      </c>
      <c r="I43" s="58" t="s">
        <v>22</v>
      </c>
      <c r="J43" s="58">
        <f>CEILING(53/'[1]Dollar Rate'!$J$26,1)</f>
        <v>18</v>
      </c>
      <c r="K43" s="58">
        <f>CEILING(63/'[1]Dollar Rate'!J26,1)</f>
        <v>22</v>
      </c>
      <c r="L43" s="58">
        <f>CEILING(73/'[1]Dollar Rate'!J26,1)</f>
        <v>25</v>
      </c>
      <c r="M43" s="59">
        <f>CEILING(83/'[1]Dollar Rate'!J26,1)</f>
        <v>28</v>
      </c>
    </row>
    <row r="44" spans="1:13" ht="15.75" customHeight="1">
      <c r="A44" s="75"/>
      <c r="B44" s="76"/>
      <c r="C44" s="41"/>
      <c r="D44" s="57">
        <v>39088</v>
      </c>
      <c r="E44" s="57">
        <v>39141</v>
      </c>
      <c r="F44" s="58">
        <f>CEILING(565/'[1]Dollar Rate'!J26,1)</f>
        <v>189</v>
      </c>
      <c r="G44" s="58">
        <f>CEILING(565/'[1]Dollar Rate'!J26,1)</f>
        <v>189</v>
      </c>
      <c r="H44" s="58">
        <f>CEILING(100/'[1]Dollar Rate'!$J$26,1)</f>
        <v>34</v>
      </c>
      <c r="I44" s="58" t="s">
        <v>22</v>
      </c>
      <c r="J44" s="58">
        <f>CEILING(53/'[1]Dollar Rate'!$J$26,1)</f>
        <v>18</v>
      </c>
      <c r="K44" s="58">
        <f>CEILING(63/'[1]Dollar Rate'!J26,1)</f>
        <v>22</v>
      </c>
      <c r="L44" s="58">
        <f>CEILING(73/'[1]Dollar Rate'!J26,1)</f>
        <v>25</v>
      </c>
      <c r="M44" s="59">
        <f>CEILING(83/'[1]Dollar Rate'!J26,1)</f>
        <v>28</v>
      </c>
    </row>
    <row r="45" spans="1:13" ht="15" customHeight="1">
      <c r="A45" s="75"/>
      <c r="B45" s="76"/>
      <c r="C45" s="41"/>
      <c r="D45" s="57">
        <v>39142</v>
      </c>
      <c r="E45" s="57">
        <v>39172</v>
      </c>
      <c r="F45" s="58">
        <f>CEILING(515/'[1]Dollar Rate'!J26,1)</f>
        <v>173</v>
      </c>
      <c r="G45" s="58">
        <f>CEILING(515/'[1]Dollar Rate'!J26,1)</f>
        <v>173</v>
      </c>
      <c r="H45" s="58">
        <f>CEILING(100/'[1]Dollar Rate'!$J$26,1)</f>
        <v>34</v>
      </c>
      <c r="I45" s="58" t="s">
        <v>22</v>
      </c>
      <c r="J45" s="58">
        <f>CEILING(53/'[1]Dollar Rate'!$J$26,1)</f>
        <v>18</v>
      </c>
      <c r="K45" s="58">
        <f>CEILING(63/'[1]Dollar Rate'!J26,1)</f>
        <v>22</v>
      </c>
      <c r="L45" s="58">
        <f>CEILING(73/'[1]Dollar Rate'!J26,1)</f>
        <v>25</v>
      </c>
      <c r="M45" s="59">
        <f>CEILING(83/'[1]Dollar Rate'!J26,1)</f>
        <v>28</v>
      </c>
    </row>
    <row r="46" spans="1:13" ht="12.75">
      <c r="A46" s="75"/>
      <c r="B46" s="76"/>
      <c r="C46" s="41" t="s">
        <v>39</v>
      </c>
      <c r="D46" s="57">
        <v>38991</v>
      </c>
      <c r="E46" s="57">
        <v>39051</v>
      </c>
      <c r="F46" s="58">
        <f>CEILING(580/'[1]Dollar Rate'!J26,1)</f>
        <v>194</v>
      </c>
      <c r="G46" s="58">
        <f>CEILING(580/'[1]Dollar Rate'!J26,1)</f>
        <v>194</v>
      </c>
      <c r="H46" s="58">
        <f>CEILING(100/'[1]Dollar Rate'!$J$26,1)</f>
        <v>34</v>
      </c>
      <c r="I46" s="58" t="s">
        <v>22</v>
      </c>
      <c r="J46" s="58">
        <f>CEILING(53/'[1]Dollar Rate'!$J$26,1)</f>
        <v>18</v>
      </c>
      <c r="K46" s="58">
        <f>CEILING(63/'[1]Dollar Rate'!J26,1)</f>
        <v>22</v>
      </c>
      <c r="L46" s="58">
        <f>CEILING(73/'[1]Dollar Rate'!J26,1)</f>
        <v>25</v>
      </c>
      <c r="M46" s="59">
        <f>CEILING(83/'[1]Dollar Rate'!J26,1)</f>
        <v>28</v>
      </c>
    </row>
    <row r="47" spans="1:13" ht="12.75">
      <c r="A47" s="75"/>
      <c r="B47" s="76"/>
      <c r="C47" s="41"/>
      <c r="D47" s="57">
        <v>39052</v>
      </c>
      <c r="E47" s="57">
        <v>39070</v>
      </c>
      <c r="F47" s="58">
        <f>CEILING(665/'[1]Dollar Rate'!J26,1)</f>
        <v>223</v>
      </c>
      <c r="G47" s="58">
        <f>CEILING(665/'[1]Dollar Rate'!J26,1)</f>
        <v>223</v>
      </c>
      <c r="H47" s="58">
        <f>CEILING(100/'[1]Dollar Rate'!$J$26,1)</f>
        <v>34</v>
      </c>
      <c r="I47" s="58" t="s">
        <v>22</v>
      </c>
      <c r="J47" s="58">
        <f>CEILING(53/'[1]Dollar Rate'!$J$26,1)</f>
        <v>18</v>
      </c>
      <c r="K47" s="58">
        <f>CEILING(63/'[1]Dollar Rate'!J26,1)</f>
        <v>22</v>
      </c>
      <c r="L47" s="58">
        <f>CEILING(73/'[1]Dollar Rate'!J26,1)</f>
        <v>25</v>
      </c>
      <c r="M47" s="59">
        <f>CEILING(83/'[1]Dollar Rate'!J26,1)</f>
        <v>28</v>
      </c>
    </row>
    <row r="48" spans="1:13" ht="12.75">
      <c r="A48" s="75"/>
      <c r="B48" s="76"/>
      <c r="C48" s="41"/>
      <c r="D48" s="57">
        <v>39071</v>
      </c>
      <c r="E48" s="57">
        <v>39087</v>
      </c>
      <c r="F48" s="58">
        <f>CEILING(765/'[1]Dollar Rate'!J26,1)</f>
        <v>256</v>
      </c>
      <c r="G48" s="58">
        <f>CEILING(765/'[1]Dollar Rate'!J26,1)</f>
        <v>256</v>
      </c>
      <c r="H48" s="58">
        <f>CEILING(100/'[1]Dollar Rate'!$J$26,1)</f>
        <v>34</v>
      </c>
      <c r="I48" s="58" t="s">
        <v>22</v>
      </c>
      <c r="J48" s="58">
        <f>CEILING(53/'[1]Dollar Rate'!$J$26,1)</f>
        <v>18</v>
      </c>
      <c r="K48" s="58">
        <f>CEILING(63/'[1]Dollar Rate'!J26,1)</f>
        <v>22</v>
      </c>
      <c r="L48" s="58">
        <f>CEILING(73/'[1]Dollar Rate'!J26,1)</f>
        <v>25</v>
      </c>
      <c r="M48" s="59">
        <f>CEILING(83/'[1]Dollar Rate'!J26,1)</f>
        <v>28</v>
      </c>
    </row>
    <row r="49" spans="1:13" ht="12.75">
      <c r="A49" s="75"/>
      <c r="B49" s="76"/>
      <c r="C49" s="41"/>
      <c r="D49" s="57">
        <v>39088</v>
      </c>
      <c r="E49" s="57">
        <v>39141</v>
      </c>
      <c r="F49" s="58">
        <f>CEILING(665/'[1]Dollar Rate'!J26,1)</f>
        <v>223</v>
      </c>
      <c r="G49" s="58">
        <f>CEILING(665/'[1]Dollar Rate'!J26,1)</f>
        <v>223</v>
      </c>
      <c r="H49" s="58">
        <f>CEILING(100/'[1]Dollar Rate'!$J$26,1)</f>
        <v>34</v>
      </c>
      <c r="I49" s="58" t="s">
        <v>22</v>
      </c>
      <c r="J49" s="58">
        <f>CEILING(53/'[1]Dollar Rate'!$J$26,1)</f>
        <v>18</v>
      </c>
      <c r="K49" s="58">
        <f>CEILING(63/'[1]Dollar Rate'!J26,1)</f>
        <v>22</v>
      </c>
      <c r="L49" s="58">
        <f>CEILING(73/'[1]Dollar Rate'!J26,1)</f>
        <v>25</v>
      </c>
      <c r="M49" s="59">
        <f>CEILING(83/'[1]Dollar Rate'!J26,1)</f>
        <v>28</v>
      </c>
    </row>
    <row r="50" spans="1:13" ht="12.75">
      <c r="A50" s="78"/>
      <c r="B50" s="79"/>
      <c r="C50" s="80"/>
      <c r="D50" s="64">
        <v>39142</v>
      </c>
      <c r="E50" s="64">
        <v>39172</v>
      </c>
      <c r="F50" s="65">
        <f>CEILING(615/'[1]Dollar Rate'!J26,1)</f>
        <v>206</v>
      </c>
      <c r="G50" s="65">
        <f>CEILING(615/'[1]Dollar Rate'!J26,1)</f>
        <v>206</v>
      </c>
      <c r="H50" s="65">
        <f>CEILING(100/'[1]Dollar Rate'!$J$26,1)</f>
        <v>34</v>
      </c>
      <c r="I50" s="65" t="s">
        <v>22</v>
      </c>
      <c r="J50" s="65">
        <f>CEILING(53/'[1]Dollar Rate'!$J$26,1)</f>
        <v>18</v>
      </c>
      <c r="K50" s="65">
        <f>CEILING(63/'[1]Dollar Rate'!J26,1)</f>
        <v>22</v>
      </c>
      <c r="L50" s="65">
        <f>CEILING(73/'[1]Dollar Rate'!J26,1)</f>
        <v>25</v>
      </c>
      <c r="M50" s="66">
        <f>CEILING(83/'[1]Dollar Rate'!J26,1)</f>
        <v>28</v>
      </c>
    </row>
    <row r="51" spans="1:13" ht="12.75">
      <c r="A51" s="72"/>
      <c r="B51" s="81" t="s">
        <v>40</v>
      </c>
      <c r="C51" s="82" t="s">
        <v>41</v>
      </c>
      <c r="D51" s="51">
        <v>38991</v>
      </c>
      <c r="E51" s="51">
        <v>39172</v>
      </c>
      <c r="F51" s="52">
        <f>CEILING(495/'[1]Dollar Rate'!J26,1)</f>
        <v>166</v>
      </c>
      <c r="G51" s="52">
        <f>CEILING(495/'[1]Dollar Rate'!J26,1)</f>
        <v>166</v>
      </c>
      <c r="H51" s="52">
        <f>CEILING(145/'[1]Dollar Rate'!$J$26,1)</f>
        <v>49</v>
      </c>
      <c r="I51" s="52" t="s">
        <v>22</v>
      </c>
      <c r="J51" s="52">
        <f>CEILING(45/'[1]Dollar Rate'!$J$26,1)</f>
        <v>16</v>
      </c>
      <c r="K51" s="52" t="s">
        <v>34</v>
      </c>
      <c r="L51" s="52" t="s">
        <v>27</v>
      </c>
      <c r="M51" s="53">
        <f>CEILING(80/'[1]Dollar Rate'!$J$26,1)</f>
        <v>27</v>
      </c>
    </row>
    <row r="52" spans="1:13" ht="12.75">
      <c r="A52" s="73"/>
      <c r="B52" s="83"/>
      <c r="C52" s="84" t="s">
        <v>42</v>
      </c>
      <c r="D52" s="57">
        <v>38991</v>
      </c>
      <c r="E52" s="57">
        <v>39172</v>
      </c>
      <c r="F52" s="58">
        <f>CEILING(540/'[1]Dollar Rate'!J26,1)</f>
        <v>181</v>
      </c>
      <c r="G52" s="58">
        <f>CEILING(540/'[1]Dollar Rate'!J26,1)</f>
        <v>181</v>
      </c>
      <c r="H52" s="58">
        <f>CEILING(145/'[1]Dollar Rate'!$J$26,1)</f>
        <v>49</v>
      </c>
      <c r="I52" s="58" t="s">
        <v>22</v>
      </c>
      <c r="J52" s="58">
        <f>CEILING(45/'[1]Dollar Rate'!$J$26,1)</f>
        <v>16</v>
      </c>
      <c r="K52" s="58" t="s">
        <v>34</v>
      </c>
      <c r="L52" s="58" t="s">
        <v>27</v>
      </c>
      <c r="M52" s="59">
        <f>CEILING(80/'[1]Dollar Rate'!$J$26,1)</f>
        <v>27</v>
      </c>
    </row>
    <row r="53" spans="1:13" ht="12.75">
      <c r="A53" s="73"/>
      <c r="B53" s="83"/>
      <c r="C53" s="84" t="s">
        <v>43</v>
      </c>
      <c r="D53" s="57">
        <v>38991</v>
      </c>
      <c r="E53" s="57">
        <v>39172</v>
      </c>
      <c r="F53" s="58">
        <f>CEILING(650/'[1]Dollar Rate'!J26,1)</f>
        <v>218</v>
      </c>
      <c r="G53" s="58">
        <f>CEILING(650/'[1]Dollar Rate'!J26,1)</f>
        <v>218</v>
      </c>
      <c r="H53" s="58">
        <f>CEILING(145/'[1]Dollar Rate'!$J$26,1)</f>
        <v>49</v>
      </c>
      <c r="I53" s="58" t="s">
        <v>22</v>
      </c>
      <c r="J53" s="58">
        <f>CEILING(45/'[1]Dollar Rate'!$J$26,1)</f>
        <v>16</v>
      </c>
      <c r="K53" s="58" t="s">
        <v>34</v>
      </c>
      <c r="L53" s="58" t="s">
        <v>27</v>
      </c>
      <c r="M53" s="59">
        <f>CEILING(80/'[1]Dollar Rate'!$J$26,1)</f>
        <v>27</v>
      </c>
    </row>
    <row r="54" spans="1:13" ht="12.75">
      <c r="A54" s="73"/>
      <c r="B54" s="83"/>
      <c r="C54" s="84" t="s">
        <v>44</v>
      </c>
      <c r="D54" s="57">
        <v>38991</v>
      </c>
      <c r="E54" s="57">
        <v>39172</v>
      </c>
      <c r="F54" s="58">
        <f>CEILING(675/'[1]Dollar Rate'!J26,1)</f>
        <v>226</v>
      </c>
      <c r="G54" s="58">
        <f>CEILING(675/'[1]Dollar Rate'!J26,1)</f>
        <v>226</v>
      </c>
      <c r="H54" s="58">
        <f>CEILING(145/'[1]Dollar Rate'!$J$26,1)</f>
        <v>49</v>
      </c>
      <c r="I54" s="58" t="s">
        <v>22</v>
      </c>
      <c r="J54" s="58">
        <f>CEILING(45/'[1]Dollar Rate'!$J$26,1)</f>
        <v>16</v>
      </c>
      <c r="K54" s="58" t="s">
        <v>34</v>
      </c>
      <c r="L54" s="58" t="s">
        <v>27</v>
      </c>
      <c r="M54" s="59">
        <f>CEILING(80/'[1]Dollar Rate'!$J$26,1)</f>
        <v>27</v>
      </c>
    </row>
    <row r="55" spans="1:13" ht="33" customHeight="1">
      <c r="A55" s="85"/>
      <c r="B55" s="86"/>
      <c r="C55" s="87" t="s">
        <v>80</v>
      </c>
      <c r="D55" s="87"/>
      <c r="E55" s="87"/>
      <c r="F55" s="87"/>
      <c r="G55" s="87"/>
      <c r="H55" s="87"/>
      <c r="I55" s="87"/>
      <c r="J55" s="87"/>
      <c r="K55" s="87"/>
      <c r="L55" s="87"/>
      <c r="M55" s="88"/>
    </row>
    <row r="56" spans="1:13" ht="12.75">
      <c r="A56" s="27"/>
      <c r="B56" s="81" t="s">
        <v>45</v>
      </c>
      <c r="C56" s="82" t="s">
        <v>41</v>
      </c>
      <c r="D56" s="51">
        <v>38991</v>
      </c>
      <c r="E56" s="51">
        <v>39172</v>
      </c>
      <c r="F56" s="52">
        <f>CEILING(470/'[1]Dollar Rate'!J26,1)</f>
        <v>158</v>
      </c>
      <c r="G56" s="52">
        <f>CEILING(470/'[1]Dollar Rate'!J26,1)</f>
        <v>158</v>
      </c>
      <c r="H56" s="52">
        <f>CEILING(132/'[1]Dollar Rate'!$J$26,1)</f>
        <v>45</v>
      </c>
      <c r="I56" s="52" t="s">
        <v>22</v>
      </c>
      <c r="J56" s="52">
        <f>CEILING(48/'[1]Dollar Rate'!$J$26,1)</f>
        <v>17</v>
      </c>
      <c r="K56" s="52" t="s">
        <v>34</v>
      </c>
      <c r="L56" s="52">
        <f>CEILING(68/'[1]Dollar Rate'!$J$26,1)</f>
        <v>23</v>
      </c>
      <c r="M56" s="53">
        <f>CEILING(85/'[1]Dollar Rate'!$J$26,1)</f>
        <v>29</v>
      </c>
    </row>
    <row r="57" spans="1:13" ht="12.75">
      <c r="A57" s="34"/>
      <c r="B57" s="83"/>
      <c r="C57" s="84" t="s">
        <v>46</v>
      </c>
      <c r="D57" s="57">
        <v>38991</v>
      </c>
      <c r="E57" s="57">
        <v>39172</v>
      </c>
      <c r="F57" s="58">
        <f>CEILING(510/'[1]Dollar Rate'!J26,1)</f>
        <v>171</v>
      </c>
      <c r="G57" s="58">
        <f>CEILING(510/'[1]Dollar Rate'!J26,1)</f>
        <v>171</v>
      </c>
      <c r="H57" s="58">
        <f>CEILING(132/'[1]Dollar Rate'!$J$26,1)</f>
        <v>45</v>
      </c>
      <c r="I57" s="58" t="s">
        <v>22</v>
      </c>
      <c r="J57" s="58">
        <f>CEILING(48/'[1]Dollar Rate'!$J$26,1)</f>
        <v>17</v>
      </c>
      <c r="K57" s="58" t="s">
        <v>34</v>
      </c>
      <c r="L57" s="58">
        <f>CEILING(68/'[1]Dollar Rate'!$J$26,1)</f>
        <v>23</v>
      </c>
      <c r="M57" s="59">
        <f>CEILING(85/'[1]Dollar Rate'!$J$26,1)</f>
        <v>29</v>
      </c>
    </row>
    <row r="58" spans="1:13" ht="12.75">
      <c r="A58" s="34"/>
      <c r="B58" s="83"/>
      <c r="C58" s="84" t="s">
        <v>47</v>
      </c>
      <c r="D58" s="57">
        <v>38991</v>
      </c>
      <c r="E58" s="57">
        <v>39172</v>
      </c>
      <c r="F58" s="58">
        <f>CEILING(550/'[1]Dollar Rate'!J26,1)</f>
        <v>184</v>
      </c>
      <c r="G58" s="58">
        <f>CEILING(550/'[1]Dollar Rate'!J26,1)</f>
        <v>184</v>
      </c>
      <c r="H58" s="58">
        <f>CEILING(132/'[1]Dollar Rate'!$J$26,1)</f>
        <v>45</v>
      </c>
      <c r="I58" s="58" t="s">
        <v>22</v>
      </c>
      <c r="J58" s="58">
        <f>CEILING(48/'[1]Dollar Rate'!$J$26,1)</f>
        <v>17</v>
      </c>
      <c r="K58" s="58" t="s">
        <v>34</v>
      </c>
      <c r="L58" s="58">
        <f>CEILING(68/'[1]Dollar Rate'!$J$26,1)</f>
        <v>23</v>
      </c>
      <c r="M58" s="59">
        <f>CEILING(85/'[1]Dollar Rate'!$J$26,1)</f>
        <v>29</v>
      </c>
    </row>
    <row r="59" spans="1:13" ht="29.25" customHeight="1">
      <c r="A59" s="85"/>
      <c r="B59" s="86"/>
      <c r="C59" s="87" t="s">
        <v>81</v>
      </c>
      <c r="D59" s="87"/>
      <c r="E59" s="87"/>
      <c r="F59" s="87"/>
      <c r="G59" s="87"/>
      <c r="H59" s="87"/>
      <c r="I59" s="87"/>
      <c r="J59" s="87"/>
      <c r="K59" s="87"/>
      <c r="L59" s="87"/>
      <c r="M59" s="88"/>
    </row>
    <row r="60" spans="1:13" ht="12.75">
      <c r="A60" s="27"/>
      <c r="B60" s="28" t="s">
        <v>48</v>
      </c>
      <c r="C60" s="82" t="s">
        <v>49</v>
      </c>
      <c r="D60" s="51">
        <v>38991</v>
      </c>
      <c r="E60" s="51">
        <v>39172</v>
      </c>
      <c r="F60" s="52">
        <f>CEILING(885/'[1]Dollar Rate'!J26,1)</f>
        <v>296</v>
      </c>
      <c r="G60" s="52">
        <f>CEILING(885/'[1]Dollar Rate'!J26,1)</f>
        <v>296</v>
      </c>
      <c r="H60" s="52" t="s">
        <v>20</v>
      </c>
      <c r="I60" s="52" t="s">
        <v>20</v>
      </c>
      <c r="J60" s="52" t="s">
        <v>20</v>
      </c>
      <c r="K60" s="52" t="s">
        <v>34</v>
      </c>
      <c r="L60" s="52" t="s">
        <v>20</v>
      </c>
      <c r="M60" s="53" t="s">
        <v>20</v>
      </c>
    </row>
    <row r="61" spans="1:13" ht="12.75">
      <c r="A61" s="34"/>
      <c r="B61" s="35"/>
      <c r="C61" s="84" t="s">
        <v>50</v>
      </c>
      <c r="D61" s="57">
        <v>38991</v>
      </c>
      <c r="E61" s="57">
        <v>39172</v>
      </c>
      <c r="F61" s="58">
        <f>CEILING(950/'[1]Dollar Rate'!J26,1)</f>
        <v>318</v>
      </c>
      <c r="G61" s="58">
        <f>CEILING(950/'[1]Dollar Rate'!J26,1)</f>
        <v>318</v>
      </c>
      <c r="H61" s="58" t="s">
        <v>20</v>
      </c>
      <c r="I61" s="58" t="s">
        <v>22</v>
      </c>
      <c r="J61" s="58" t="s">
        <v>27</v>
      </c>
      <c r="K61" s="58" t="s">
        <v>34</v>
      </c>
      <c r="L61" s="58" t="s">
        <v>20</v>
      </c>
      <c r="M61" s="59" t="s">
        <v>20</v>
      </c>
    </row>
    <row r="62" spans="1:13" ht="12.75">
      <c r="A62" s="34"/>
      <c r="B62" s="35"/>
      <c r="C62" s="89" t="s">
        <v>51</v>
      </c>
      <c r="D62" s="57">
        <v>38991</v>
      </c>
      <c r="E62" s="57">
        <v>39172</v>
      </c>
      <c r="F62" s="58">
        <f>CEILING(1015/'[1]Dollar Rate'!J26,1)</f>
        <v>340</v>
      </c>
      <c r="G62" s="58">
        <f>CEILING(1015/'[1]Dollar Rate'!J26,1)</f>
        <v>340</v>
      </c>
      <c r="H62" s="58" t="s">
        <v>20</v>
      </c>
      <c r="I62" s="58" t="s">
        <v>52</v>
      </c>
      <c r="J62" s="58" t="s">
        <v>27</v>
      </c>
      <c r="K62" s="58" t="s">
        <v>34</v>
      </c>
      <c r="L62" s="58" t="s">
        <v>20</v>
      </c>
      <c r="M62" s="59" t="s">
        <v>20</v>
      </c>
    </row>
    <row r="63" spans="1:13" ht="12.75">
      <c r="A63" s="34"/>
      <c r="B63" s="35"/>
      <c r="C63" s="89" t="s">
        <v>53</v>
      </c>
      <c r="D63" s="57">
        <v>38991</v>
      </c>
      <c r="E63" s="57">
        <v>39172</v>
      </c>
      <c r="F63" s="58">
        <f>CEILING(1145/'[1]Dollar Rate'!J26,1)</f>
        <v>383</v>
      </c>
      <c r="G63" s="58">
        <f>CEILING(1145/'[1]Dollar Rate'!J26,1)</f>
        <v>383</v>
      </c>
      <c r="H63" s="58" t="s">
        <v>20</v>
      </c>
      <c r="I63" s="58" t="s">
        <v>52</v>
      </c>
      <c r="J63" s="58" t="s">
        <v>27</v>
      </c>
      <c r="K63" s="58" t="s">
        <v>34</v>
      </c>
      <c r="L63" s="58" t="s">
        <v>20</v>
      </c>
      <c r="M63" s="59" t="s">
        <v>20</v>
      </c>
    </row>
    <row r="64" spans="1:13" ht="12.75">
      <c r="A64" s="34"/>
      <c r="B64" s="35"/>
      <c r="C64" s="84" t="s">
        <v>54</v>
      </c>
      <c r="D64" s="57">
        <v>38991</v>
      </c>
      <c r="E64" s="57">
        <v>39172</v>
      </c>
      <c r="F64" s="58">
        <f>CEILING(1795/'[1]Dollar Rate'!J26,1)</f>
        <v>601</v>
      </c>
      <c r="G64" s="58">
        <f>CEILING(1795/'[1]Dollar Rate'!J26,1)</f>
        <v>601</v>
      </c>
      <c r="H64" s="58" t="s">
        <v>20</v>
      </c>
      <c r="I64" s="58" t="s">
        <v>52</v>
      </c>
      <c r="J64" s="58" t="s">
        <v>27</v>
      </c>
      <c r="K64" s="58" t="s">
        <v>34</v>
      </c>
      <c r="L64" s="58" t="s">
        <v>20</v>
      </c>
      <c r="M64" s="59" t="s">
        <v>20</v>
      </c>
    </row>
    <row r="65" spans="1:13" ht="12.75" customHeight="1">
      <c r="A65" s="34"/>
      <c r="B65" s="35"/>
      <c r="C65" s="90" t="s">
        <v>82</v>
      </c>
      <c r="D65" s="90"/>
      <c r="E65" s="90"/>
      <c r="F65" s="90"/>
      <c r="G65" s="90"/>
      <c r="H65" s="90"/>
      <c r="I65" s="90"/>
      <c r="J65" s="90"/>
      <c r="K65" s="90"/>
      <c r="L65" s="90"/>
      <c r="M65" s="91"/>
    </row>
    <row r="66" spans="1:13" ht="12.75">
      <c r="A66" s="34"/>
      <c r="B66" s="35"/>
      <c r="C66" s="84" t="s">
        <v>49</v>
      </c>
      <c r="D66" s="57">
        <v>38991</v>
      </c>
      <c r="E66" s="57">
        <v>39172</v>
      </c>
      <c r="F66" s="58">
        <f>CEILING(463/'[1]Dollar Rate'!J26,1)</f>
        <v>155</v>
      </c>
      <c r="G66" s="41" t="s">
        <v>55</v>
      </c>
      <c r="H66" s="41"/>
      <c r="I66" s="41"/>
      <c r="J66" s="41"/>
      <c r="K66" s="41"/>
      <c r="L66" s="41"/>
      <c r="M66" s="92"/>
    </row>
    <row r="67" spans="1:13" ht="12.75">
      <c r="A67" s="34"/>
      <c r="B67" s="35"/>
      <c r="C67" s="84" t="s">
        <v>50</v>
      </c>
      <c r="D67" s="57">
        <v>38991</v>
      </c>
      <c r="E67" s="57">
        <v>39172</v>
      </c>
      <c r="F67" s="58">
        <f>CEILING(495/'[1]Dollar Rate'!J26,1)</f>
        <v>166</v>
      </c>
      <c r="G67" s="41"/>
      <c r="H67" s="41"/>
      <c r="I67" s="41"/>
      <c r="J67" s="41"/>
      <c r="K67" s="41"/>
      <c r="L67" s="41"/>
      <c r="M67" s="92"/>
    </row>
    <row r="68" spans="1:13" ht="12.75">
      <c r="A68" s="34"/>
      <c r="B68" s="35"/>
      <c r="C68" s="89" t="s">
        <v>51</v>
      </c>
      <c r="D68" s="57">
        <v>38991</v>
      </c>
      <c r="E68" s="57">
        <v>39172</v>
      </c>
      <c r="F68" s="58">
        <f>CEILING(528/'[1]Dollar Rate'!J26,1)</f>
        <v>177</v>
      </c>
      <c r="G68" s="41"/>
      <c r="H68" s="41"/>
      <c r="I68" s="41"/>
      <c r="J68" s="41"/>
      <c r="K68" s="41"/>
      <c r="L68" s="41"/>
      <c r="M68" s="92"/>
    </row>
    <row r="69" spans="1:13" ht="12.75">
      <c r="A69" s="34"/>
      <c r="B69" s="35"/>
      <c r="C69" s="89" t="s">
        <v>53</v>
      </c>
      <c r="D69" s="57">
        <v>38991</v>
      </c>
      <c r="E69" s="57">
        <v>39172</v>
      </c>
      <c r="F69" s="58">
        <f>CEILING(593/'[1]Dollar Rate'!J26,1)</f>
        <v>199</v>
      </c>
      <c r="G69" s="41"/>
      <c r="H69" s="41"/>
      <c r="I69" s="41"/>
      <c r="J69" s="41"/>
      <c r="K69" s="41"/>
      <c r="L69" s="41"/>
      <c r="M69" s="92"/>
    </row>
    <row r="70" spans="1:13" ht="13.5" customHeight="1">
      <c r="A70" s="42"/>
      <c r="B70" s="43"/>
      <c r="C70" s="87" t="s">
        <v>83</v>
      </c>
      <c r="D70" s="87"/>
      <c r="E70" s="87"/>
      <c r="F70" s="87"/>
      <c r="G70" s="87"/>
      <c r="H70" s="87"/>
      <c r="I70" s="87"/>
      <c r="J70" s="87"/>
      <c r="K70" s="87"/>
      <c r="L70" s="87"/>
      <c r="M70" s="88"/>
    </row>
    <row r="71" spans="1:13" ht="13.5" customHeight="1" thickBot="1">
      <c r="A71" s="93"/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3.5" thickTop="1">
      <c r="A72" s="96" t="s">
        <v>56</v>
      </c>
      <c r="B72" s="97"/>
      <c r="C72" s="97"/>
      <c r="D72" s="97"/>
      <c r="E72" s="98"/>
      <c r="F72" s="97"/>
      <c r="G72" s="97"/>
      <c r="H72" s="97"/>
      <c r="I72" s="97"/>
      <c r="J72" s="97"/>
      <c r="K72" s="97"/>
      <c r="L72" s="97"/>
      <c r="M72" s="98"/>
    </row>
    <row r="73" spans="1:13" ht="12.75">
      <c r="A73" s="99"/>
      <c r="B73" s="100" t="s">
        <v>57</v>
      </c>
      <c r="C73" s="101" t="s">
        <v>41</v>
      </c>
      <c r="D73" s="102">
        <v>38991</v>
      </c>
      <c r="E73" s="103">
        <v>39172</v>
      </c>
      <c r="F73" s="104">
        <f>CEILING(290/'[1]Dollar Rate'!J26,1)</f>
        <v>97</v>
      </c>
      <c r="G73" s="104">
        <f>CEILING(290/'[1]Dollar Rate'!J26,1)</f>
        <v>97</v>
      </c>
      <c r="H73" s="104">
        <f>CEILING(60/'[1]Dollar Rate'!$J$26,1)</f>
        <v>21</v>
      </c>
      <c r="I73" s="105" t="s">
        <v>22</v>
      </c>
      <c r="J73" s="105">
        <f>CEILING(38/'[1]Dollar Rate'!$J$26,1)</f>
        <v>13</v>
      </c>
      <c r="K73" s="104">
        <f>CEILING(48/'[1]Dollar Rate'!$J$26,1)</f>
        <v>17</v>
      </c>
      <c r="L73" s="104">
        <f>CEILING(50/'[1]Dollar Rate'!$J$26,1)</f>
        <v>17</v>
      </c>
      <c r="M73" s="106">
        <f>CEILING(68/'[1]Dollar Rate'!$J$26,1)</f>
        <v>23</v>
      </c>
    </row>
    <row r="74" spans="1:13" ht="12.75">
      <c r="A74" s="99"/>
      <c r="B74" s="107"/>
      <c r="C74" s="108" t="s">
        <v>30</v>
      </c>
      <c r="D74" s="109">
        <v>38991</v>
      </c>
      <c r="E74" s="109">
        <v>39172</v>
      </c>
      <c r="F74" s="110">
        <f>CEILING(320/'[1]Dollar Rate'!J26,1)</f>
        <v>108</v>
      </c>
      <c r="G74" s="110">
        <f>CEILING(320/'[1]Dollar Rate'!J26,1)</f>
        <v>108</v>
      </c>
      <c r="H74" s="110">
        <f>CEILING(60/'[1]Dollar Rate'!$J$26,1)</f>
        <v>21</v>
      </c>
      <c r="I74" s="111" t="s">
        <v>22</v>
      </c>
      <c r="J74" s="111">
        <f>CEILING(38/'[1]Dollar Rate'!$J$26,1)</f>
        <v>13</v>
      </c>
      <c r="K74" s="111">
        <f>CEILING(48/'[1]Dollar Rate'!$J$26,1)</f>
        <v>17</v>
      </c>
      <c r="L74" s="110">
        <f>CEILING(50/'[1]Dollar Rate'!$J$26,1)</f>
        <v>17</v>
      </c>
      <c r="M74" s="112">
        <f>CEILING(68/'[1]Dollar Rate'!$J$26,1)</f>
        <v>23</v>
      </c>
    </row>
    <row r="75" spans="1:13" ht="12.75">
      <c r="A75" s="99"/>
      <c r="B75" s="107"/>
      <c r="C75" s="113" t="s">
        <v>58</v>
      </c>
      <c r="D75" s="114">
        <v>38991</v>
      </c>
      <c r="E75" s="114">
        <v>39172</v>
      </c>
      <c r="F75" s="115">
        <f>CEILING(460/'[1]Dollar Rate'!J26,1)</f>
        <v>154</v>
      </c>
      <c r="G75" s="115">
        <f>CEILING(460/'[1]Dollar Rate'!J26,1)</f>
        <v>154</v>
      </c>
      <c r="H75" s="116">
        <f>CEILING(60/'[1]Dollar Rate'!$J$26,1)</f>
        <v>21</v>
      </c>
      <c r="I75" s="115" t="s">
        <v>22</v>
      </c>
      <c r="J75" s="116">
        <f>CEILING(38/'[1]Dollar Rate'!$J$26,1)</f>
        <v>13</v>
      </c>
      <c r="K75" s="116">
        <f>CEILING(48/'[1]Dollar Rate'!$J$26,1)</f>
        <v>17</v>
      </c>
      <c r="L75" s="116">
        <f>CEILING(50/'[1]Dollar Rate'!$J$26,1)</f>
        <v>17</v>
      </c>
      <c r="M75" s="117">
        <f>CEILING(68/'[1]Dollar Rate'!$J$26,1)</f>
        <v>23</v>
      </c>
    </row>
    <row r="76" spans="1:13" ht="12.75">
      <c r="A76" s="99"/>
      <c r="B76" s="107"/>
      <c r="C76" s="113"/>
      <c r="D76" s="118"/>
      <c r="E76" s="118"/>
      <c r="F76" s="115"/>
      <c r="G76" s="115"/>
      <c r="H76" s="119"/>
      <c r="I76" s="115"/>
      <c r="J76" s="119"/>
      <c r="K76" s="119"/>
      <c r="L76" s="119"/>
      <c r="M76" s="120"/>
    </row>
    <row r="77" spans="1:13" ht="12.75">
      <c r="A77" s="99"/>
      <c r="B77" s="107"/>
      <c r="C77" s="113" t="s">
        <v>59</v>
      </c>
      <c r="D77" s="114">
        <v>38991</v>
      </c>
      <c r="E77" s="114">
        <v>39172</v>
      </c>
      <c r="F77" s="115">
        <f>CEILING(660/'[1]Dollar Rate'!J26,1)</f>
        <v>221</v>
      </c>
      <c r="G77" s="115">
        <f>CEILING(660/'[1]Dollar Rate'!J26,1)</f>
        <v>221</v>
      </c>
      <c r="H77" s="116">
        <f>CEILING(60/'[1]Dollar Rate'!$J$26,1)</f>
        <v>21</v>
      </c>
      <c r="I77" s="115" t="s">
        <v>22</v>
      </c>
      <c r="J77" s="116">
        <f>CEILING(38/'[1]Dollar Rate'!$J$26,1)</f>
        <v>13</v>
      </c>
      <c r="K77" s="116">
        <f>CEILING(48/'[1]Dollar Rate'!$J$26,1)</f>
        <v>17</v>
      </c>
      <c r="L77" s="116">
        <f>CEILING(50/'[1]Dollar Rate'!$J$26,1)</f>
        <v>17</v>
      </c>
      <c r="M77" s="117">
        <f>CEILING(68/'[1]Dollar Rate'!$J$26,1)</f>
        <v>23</v>
      </c>
    </row>
    <row r="78" spans="1:13" ht="12.75">
      <c r="A78" s="99"/>
      <c r="B78" s="107"/>
      <c r="C78" s="113"/>
      <c r="D78" s="118"/>
      <c r="E78" s="118"/>
      <c r="F78" s="115"/>
      <c r="G78" s="115"/>
      <c r="H78" s="119"/>
      <c r="I78" s="115"/>
      <c r="J78" s="119"/>
      <c r="K78" s="119"/>
      <c r="L78" s="119"/>
      <c r="M78" s="120"/>
    </row>
    <row r="79" spans="1:13" ht="12.75">
      <c r="A79" s="99"/>
      <c r="B79" s="107"/>
      <c r="C79" s="113" t="s">
        <v>60</v>
      </c>
      <c r="D79" s="114">
        <v>38991</v>
      </c>
      <c r="E79" s="121">
        <v>39172</v>
      </c>
      <c r="F79" s="115">
        <f>CEILING(790/'[1]Dollar Rate'!J26,1)</f>
        <v>265</v>
      </c>
      <c r="G79" s="115">
        <f>CEILING(790/'[1]Dollar Rate'!J26,1)</f>
        <v>265</v>
      </c>
      <c r="H79" s="116">
        <f>CEILING(60/'[1]Dollar Rate'!$J$26,1)</f>
        <v>21</v>
      </c>
      <c r="I79" s="115" t="s">
        <v>22</v>
      </c>
      <c r="J79" s="116">
        <f>CEILING(38/'[1]Dollar Rate'!$J$26,1)</f>
        <v>13</v>
      </c>
      <c r="K79" s="116">
        <f>CEILING(48/'[1]Dollar Rate'!$J$26,1)</f>
        <v>17</v>
      </c>
      <c r="L79" s="116">
        <f>CEILING(50/'[1]Dollar Rate'!$J$26,1)</f>
        <v>17</v>
      </c>
      <c r="M79" s="117">
        <f>CEILING(68/'[1]Dollar Rate'!$J$26,1)</f>
        <v>23</v>
      </c>
    </row>
    <row r="80" spans="1:13" ht="12.75">
      <c r="A80" s="99"/>
      <c r="B80" s="107"/>
      <c r="C80" s="113"/>
      <c r="D80" s="118"/>
      <c r="E80" s="121"/>
      <c r="F80" s="115"/>
      <c r="G80" s="115"/>
      <c r="H80" s="119"/>
      <c r="I80" s="115"/>
      <c r="J80" s="119"/>
      <c r="K80" s="119"/>
      <c r="L80" s="119"/>
      <c r="M80" s="120"/>
    </row>
    <row r="81" spans="1:13" ht="12.75">
      <c r="A81" s="99"/>
      <c r="B81" s="107"/>
      <c r="C81" s="113" t="s">
        <v>61</v>
      </c>
      <c r="D81" s="114">
        <v>38991</v>
      </c>
      <c r="E81" s="121">
        <v>39172</v>
      </c>
      <c r="F81" s="115">
        <f>CEILING(910/'[1]Dollar Rate'!J26,1)</f>
        <v>305</v>
      </c>
      <c r="G81" s="115">
        <f>CEILING(910/'[1]Dollar Rate'!J26,1)</f>
        <v>305</v>
      </c>
      <c r="H81" s="115" t="s">
        <v>20</v>
      </c>
      <c r="I81" s="115" t="s">
        <v>20</v>
      </c>
      <c r="J81" s="116">
        <f>CEILING(38/'[1]Dollar Rate'!$J$26,1)</f>
        <v>13</v>
      </c>
      <c r="K81" s="116">
        <f>CEILING(48/'[1]Dollar Rate'!$J$26,1)</f>
        <v>17</v>
      </c>
      <c r="L81" s="116">
        <f>CEILING(50/'[1]Dollar Rate'!$J$26,1)</f>
        <v>17</v>
      </c>
      <c r="M81" s="117">
        <f>CEILING(68/'[1]Dollar Rate'!$J$26,1)</f>
        <v>23</v>
      </c>
    </row>
    <row r="82" spans="1:13" ht="12.75">
      <c r="A82" s="99"/>
      <c r="B82" s="107"/>
      <c r="C82" s="122"/>
      <c r="D82" s="123"/>
      <c r="E82" s="124"/>
      <c r="F82" s="125"/>
      <c r="G82" s="125"/>
      <c r="H82" s="125"/>
      <c r="I82" s="125"/>
      <c r="J82" s="126"/>
      <c r="K82" s="126"/>
      <c r="L82" s="126"/>
      <c r="M82" s="120"/>
    </row>
    <row r="83" spans="1:13" ht="25.5" customHeight="1">
      <c r="A83" s="127"/>
      <c r="B83" s="128"/>
      <c r="C83" s="129" t="s">
        <v>84</v>
      </c>
      <c r="D83" s="130"/>
      <c r="E83" s="130"/>
      <c r="F83" s="130"/>
      <c r="G83" s="130"/>
      <c r="H83" s="130"/>
      <c r="I83" s="130"/>
      <c r="J83" s="130"/>
      <c r="K83" s="130"/>
      <c r="L83" s="130"/>
      <c r="M83" s="131"/>
    </row>
    <row r="84" spans="1:13" ht="12.75">
      <c r="A84" s="132"/>
      <c r="B84" s="133" t="s">
        <v>62</v>
      </c>
      <c r="C84" s="134" t="s">
        <v>63</v>
      </c>
      <c r="D84" s="135">
        <v>38991</v>
      </c>
      <c r="E84" s="135">
        <v>39172</v>
      </c>
      <c r="F84" s="136">
        <f>CEILING(235/'[1]Dollar Rate'!J26,1)</f>
        <v>79</v>
      </c>
      <c r="G84" s="136">
        <f>CEILING(255/'[1]Dollar Rate'!J26,1)</f>
        <v>86</v>
      </c>
      <c r="H84" s="136">
        <f>CEILING(75/'[1]Dollar Rate'!J26,1)</f>
        <v>26</v>
      </c>
      <c r="I84" s="136" t="s">
        <v>22</v>
      </c>
      <c r="J84" s="136">
        <f>CEILING(35/'[1]Dollar Rate'!J26,1)</f>
        <v>12</v>
      </c>
      <c r="K84" s="136" t="s">
        <v>34</v>
      </c>
      <c r="L84" s="136" t="s">
        <v>27</v>
      </c>
      <c r="M84" s="137" t="s">
        <v>27</v>
      </c>
    </row>
    <row r="85" spans="1:13" ht="22.5" customHeight="1" thickBot="1">
      <c r="A85" s="138"/>
      <c r="B85" s="139"/>
      <c r="C85" s="129" t="s">
        <v>85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1"/>
    </row>
    <row r="86" spans="1:13" ht="22.5" customHeight="1" thickBot="1" thickTop="1">
      <c r="A86" s="140"/>
      <c r="B86" s="141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</row>
    <row r="87" spans="1:13" ht="13.5" customHeight="1" thickTop="1">
      <c r="A87" s="142" t="s">
        <v>56</v>
      </c>
      <c r="B87" s="141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1:13" ht="12.75">
      <c r="A88" s="143"/>
      <c r="B88" s="81" t="s">
        <v>64</v>
      </c>
      <c r="C88" s="82" t="s">
        <v>63</v>
      </c>
      <c r="D88" s="51">
        <v>38991</v>
      </c>
      <c r="E88" s="51">
        <v>39172</v>
      </c>
      <c r="F88" s="52">
        <f>CEILING(205/'[1]Dollar Rate'!J26,1)</f>
        <v>69</v>
      </c>
      <c r="G88" s="52">
        <f>CEILING(205/'[1]Dollar Rate'!J26,1)</f>
        <v>69</v>
      </c>
      <c r="H88" s="52" t="s">
        <v>20</v>
      </c>
      <c r="I88" s="52" t="s">
        <v>22</v>
      </c>
      <c r="J88" s="52">
        <f>CEILING(35/'[1]Dollar Rate'!J26,1)</f>
        <v>12</v>
      </c>
      <c r="K88" s="52" t="s">
        <v>34</v>
      </c>
      <c r="L88" s="52" t="s">
        <v>27</v>
      </c>
      <c r="M88" s="144" t="s">
        <v>27</v>
      </c>
    </row>
    <row r="89" spans="1:13" ht="12.75">
      <c r="A89" s="145"/>
      <c r="B89" s="86"/>
      <c r="C89" s="87" t="s">
        <v>85</v>
      </c>
      <c r="D89" s="87"/>
      <c r="E89" s="87"/>
      <c r="F89" s="87"/>
      <c r="G89" s="87"/>
      <c r="H89" s="87"/>
      <c r="I89" s="87"/>
      <c r="J89" s="87"/>
      <c r="K89" s="87"/>
      <c r="L89" s="87"/>
      <c r="M89" s="88"/>
    </row>
    <row r="90" spans="1:13" ht="12.75">
      <c r="A90" s="146"/>
      <c r="B90" s="28" t="s">
        <v>65</v>
      </c>
      <c r="C90" s="82" t="s">
        <v>66</v>
      </c>
      <c r="D90" s="51">
        <v>38991</v>
      </c>
      <c r="E90" s="51">
        <v>39172</v>
      </c>
      <c r="F90" s="52">
        <f>CEILING(210/'[1]Dollar Rate'!J26,1)</f>
        <v>71</v>
      </c>
      <c r="G90" s="52">
        <f>CEILING(210/'[1]Dollar Rate'!J26,1)</f>
        <v>71</v>
      </c>
      <c r="H90" s="52">
        <f>CEILING(90/'[1]Dollar Rate'!$J$26,1)</f>
        <v>31</v>
      </c>
      <c r="I90" s="52" t="s">
        <v>20</v>
      </c>
      <c r="J90" s="52" t="s">
        <v>20</v>
      </c>
      <c r="K90" s="52" t="s">
        <v>67</v>
      </c>
      <c r="L90" s="52">
        <f>CEILING(50/'[1]Dollar Rate'!J26,1)</f>
        <v>17</v>
      </c>
      <c r="M90" s="53">
        <f>CEILING(58/'[1]Dollar Rate'!J26,1)</f>
        <v>20</v>
      </c>
    </row>
    <row r="91" spans="1:13" ht="12.75" customHeight="1">
      <c r="A91" s="147"/>
      <c r="B91" s="35"/>
      <c r="C91" s="84" t="s">
        <v>68</v>
      </c>
      <c r="D91" s="57">
        <v>38991</v>
      </c>
      <c r="E91" s="57">
        <v>39172</v>
      </c>
      <c r="F91" s="58">
        <f>CEILING(290/'[1]Dollar Rate'!J26,1)</f>
        <v>97</v>
      </c>
      <c r="G91" s="58">
        <f>CEILING(290/'[1]Dollar Rate'!J26,1)</f>
        <v>97</v>
      </c>
      <c r="H91" s="58">
        <f>CEILING(90/'[1]Dollar Rate'!$J$26,1)</f>
        <v>31</v>
      </c>
      <c r="I91" s="58" t="s">
        <v>22</v>
      </c>
      <c r="J91" s="58">
        <f>CEILING(30/'[1]Dollar Rate'!J26,1)</f>
        <v>11</v>
      </c>
      <c r="K91" s="58" t="s">
        <v>34</v>
      </c>
      <c r="L91" s="58">
        <f>CEILING(50/'[1]Dollar Rate'!J26,1)</f>
        <v>17</v>
      </c>
      <c r="M91" s="59">
        <f>CEILING(58/'[1]Dollar Rate'!J26,1)</f>
        <v>20</v>
      </c>
    </row>
    <row r="92" spans="1:13" ht="12.75" customHeight="1">
      <c r="A92" s="147"/>
      <c r="B92" s="35"/>
      <c r="C92" s="90" t="s">
        <v>86</v>
      </c>
      <c r="D92" s="90"/>
      <c r="E92" s="90"/>
      <c r="F92" s="90"/>
      <c r="G92" s="90"/>
      <c r="H92" s="90"/>
      <c r="I92" s="90"/>
      <c r="J92" s="90"/>
      <c r="K92" s="90"/>
      <c r="L92" s="90"/>
      <c r="M92" s="91"/>
    </row>
    <row r="93" spans="1:13" ht="12.75" customHeight="1">
      <c r="A93" s="148"/>
      <c r="B93" s="149"/>
      <c r="C93" s="87" t="s">
        <v>69</v>
      </c>
      <c r="D93" s="87"/>
      <c r="E93" s="87"/>
      <c r="F93" s="87"/>
      <c r="G93" s="87"/>
      <c r="H93" s="87"/>
      <c r="I93" s="87"/>
      <c r="J93" s="87"/>
      <c r="K93" s="87"/>
      <c r="L93" s="87"/>
      <c r="M93" s="88"/>
    </row>
    <row r="94" spans="1:13" s="154" customFormat="1" ht="13.5" customHeight="1">
      <c r="A94" s="150"/>
      <c r="B94" s="81" t="s">
        <v>70</v>
      </c>
      <c r="C94" s="29" t="s">
        <v>71</v>
      </c>
      <c r="D94" s="151">
        <v>38727</v>
      </c>
      <c r="E94" s="151" t="s">
        <v>72</v>
      </c>
      <c r="F94" s="152">
        <f>CEILING(175/'[1]Dollar Rate'!J26,1)</f>
        <v>59</v>
      </c>
      <c r="G94" s="152">
        <f>CEILING(190/'[1]Dollar Rate'!J26,1)</f>
        <v>64</v>
      </c>
      <c r="H94" s="152">
        <f>CEILING(70/'[1]Dollar Rate'!$J$26,1)</f>
        <v>24</v>
      </c>
      <c r="I94" s="152" t="s">
        <v>22</v>
      </c>
      <c r="J94" s="152" t="s">
        <v>27</v>
      </c>
      <c r="K94" s="152" t="s">
        <v>27</v>
      </c>
      <c r="L94" s="152" t="s">
        <v>27</v>
      </c>
      <c r="M94" s="153" t="s">
        <v>27</v>
      </c>
    </row>
    <row r="95" spans="1:13" s="154" customFormat="1" ht="13.5" customHeight="1">
      <c r="A95" s="155"/>
      <c r="B95" s="83"/>
      <c r="C95" s="41"/>
      <c r="D95" s="156">
        <v>38728</v>
      </c>
      <c r="E95" s="156" t="s">
        <v>73</v>
      </c>
      <c r="F95" s="157">
        <f>CEILING(200/'[1]Dollar Rate'!J26,1)</f>
        <v>67</v>
      </c>
      <c r="G95" s="157">
        <f>CEILING(215/'[1]Dollar Rate'!J26,1)</f>
        <v>72</v>
      </c>
      <c r="H95" s="157">
        <f>CEILING(70/'[1]Dollar Rate'!$J$26,1)</f>
        <v>24</v>
      </c>
      <c r="I95" s="157" t="s">
        <v>22</v>
      </c>
      <c r="J95" s="157" t="s">
        <v>27</v>
      </c>
      <c r="K95" s="157" t="s">
        <v>27</v>
      </c>
      <c r="L95" s="157" t="s">
        <v>27</v>
      </c>
      <c r="M95" s="158" t="s">
        <v>27</v>
      </c>
    </row>
    <row r="96" spans="1:13" s="154" customFormat="1" ht="13.5" customHeight="1">
      <c r="A96" s="155"/>
      <c r="B96" s="83"/>
      <c r="C96" s="41"/>
      <c r="D96" s="156" t="s">
        <v>74</v>
      </c>
      <c r="E96" s="156">
        <v>39327</v>
      </c>
      <c r="F96" s="157">
        <f>CEILING(230/'[1]Dollar Rate'!J26,1)</f>
        <v>77</v>
      </c>
      <c r="G96" s="157">
        <f>CEILING(245/'[1]Dollar Rate'!J26,1)</f>
        <v>82</v>
      </c>
      <c r="H96" s="157">
        <f>CEILING(70/'[1]Dollar Rate'!$J$26,1)</f>
        <v>24</v>
      </c>
      <c r="I96" s="157" t="s">
        <v>22</v>
      </c>
      <c r="J96" s="157" t="s">
        <v>27</v>
      </c>
      <c r="K96" s="157" t="s">
        <v>27</v>
      </c>
      <c r="L96" s="157" t="s">
        <v>27</v>
      </c>
      <c r="M96" s="158" t="s">
        <v>27</v>
      </c>
    </row>
    <row r="97" spans="1:13" s="154" customFormat="1" ht="14.25" customHeight="1">
      <c r="A97" s="155"/>
      <c r="B97" s="83"/>
      <c r="C97" s="41"/>
      <c r="D97" s="156">
        <v>39357</v>
      </c>
      <c r="E97" s="159" t="s">
        <v>75</v>
      </c>
      <c r="F97" s="157">
        <f>CEILING(200/'[1]Dollar Rate'!J26,1)</f>
        <v>67</v>
      </c>
      <c r="G97" s="157">
        <f>CEILING(215/'[1]Dollar Rate'!J26,1)</f>
        <v>72</v>
      </c>
      <c r="H97" s="157">
        <f>CEILING(70/'[1]Dollar Rate'!$J$26,1)</f>
        <v>24</v>
      </c>
      <c r="I97" s="157" t="s">
        <v>22</v>
      </c>
      <c r="J97" s="157" t="s">
        <v>27</v>
      </c>
      <c r="K97" s="157" t="s">
        <v>27</v>
      </c>
      <c r="L97" s="157" t="s">
        <v>27</v>
      </c>
      <c r="M97" s="158" t="s">
        <v>27</v>
      </c>
    </row>
    <row r="98" spans="1:13" s="154" customFormat="1" ht="14.25" customHeight="1">
      <c r="A98" s="155"/>
      <c r="B98" s="83"/>
      <c r="C98" s="41" t="s">
        <v>41</v>
      </c>
      <c r="D98" s="156">
        <v>38727</v>
      </c>
      <c r="E98" s="156" t="s">
        <v>72</v>
      </c>
      <c r="F98" s="157">
        <f>CEILING(215/'[1]Dollar Rate'!J26,1)</f>
        <v>72</v>
      </c>
      <c r="G98" s="157">
        <f>CEILING(230/'[1]Dollar Rate'!J26,1)</f>
        <v>77</v>
      </c>
      <c r="H98" s="157">
        <f>CEILING(70/'[1]Dollar Rate'!$J$26,1)</f>
        <v>24</v>
      </c>
      <c r="I98" s="157" t="s">
        <v>22</v>
      </c>
      <c r="J98" s="157" t="s">
        <v>27</v>
      </c>
      <c r="K98" s="157" t="s">
        <v>27</v>
      </c>
      <c r="L98" s="157" t="s">
        <v>27</v>
      </c>
      <c r="M98" s="158" t="s">
        <v>27</v>
      </c>
    </row>
    <row r="99" spans="1:13" s="154" customFormat="1" ht="14.25" customHeight="1">
      <c r="A99" s="155"/>
      <c r="B99" s="83"/>
      <c r="C99" s="41"/>
      <c r="D99" s="156">
        <v>39093</v>
      </c>
      <c r="E99" s="156" t="s">
        <v>73</v>
      </c>
      <c r="F99" s="157">
        <f>CEILING(240/'[1]Dollar Rate'!J26,1)</f>
        <v>81</v>
      </c>
      <c r="G99" s="157">
        <f>CEILING(255/'[1]Dollar Rate'!J26,1)</f>
        <v>86</v>
      </c>
      <c r="H99" s="157">
        <f>CEILING(70/'[1]Dollar Rate'!$J$26,1)</f>
        <v>24</v>
      </c>
      <c r="I99" s="157" t="s">
        <v>22</v>
      </c>
      <c r="J99" s="157" t="s">
        <v>27</v>
      </c>
      <c r="K99" s="157" t="s">
        <v>27</v>
      </c>
      <c r="L99" s="157" t="s">
        <v>27</v>
      </c>
      <c r="M99" s="158" t="s">
        <v>27</v>
      </c>
    </row>
    <row r="100" spans="1:13" s="154" customFormat="1" ht="12.75" customHeight="1">
      <c r="A100" s="155"/>
      <c r="B100" s="83"/>
      <c r="C100" s="41"/>
      <c r="D100" s="156" t="s">
        <v>74</v>
      </c>
      <c r="E100" s="156">
        <v>39327</v>
      </c>
      <c r="F100" s="157">
        <f>CEILING(280/'[1]Dollar Rate'!J26,1)</f>
        <v>94</v>
      </c>
      <c r="G100" s="157">
        <f>CEILING(295/'[1]Dollar Rate'!J26,1)</f>
        <v>99</v>
      </c>
      <c r="H100" s="157">
        <f>CEILING(70/'[1]Dollar Rate'!$J$26,1)</f>
        <v>24</v>
      </c>
      <c r="I100" s="157" t="s">
        <v>22</v>
      </c>
      <c r="J100" s="157" t="s">
        <v>27</v>
      </c>
      <c r="K100" s="157" t="s">
        <v>27</v>
      </c>
      <c r="L100" s="157" t="s">
        <v>27</v>
      </c>
      <c r="M100" s="158" t="s">
        <v>27</v>
      </c>
    </row>
    <row r="101" spans="1:13" s="154" customFormat="1" ht="10.5" customHeight="1">
      <c r="A101" s="155"/>
      <c r="B101" s="83"/>
      <c r="C101" s="41"/>
      <c r="D101" s="156">
        <v>39357</v>
      </c>
      <c r="E101" s="159" t="s">
        <v>75</v>
      </c>
      <c r="F101" s="157">
        <f>CEILING(240/'[1]Dollar Rate'!J26,1)</f>
        <v>81</v>
      </c>
      <c r="G101" s="157">
        <f>CEILING(255/'[1]Dollar Rate'!J26,1)</f>
        <v>86</v>
      </c>
      <c r="H101" s="157">
        <f>CEILING(70/'[1]Dollar Rate'!$J$26,1)</f>
        <v>24</v>
      </c>
      <c r="I101" s="157" t="s">
        <v>22</v>
      </c>
      <c r="J101" s="157" t="s">
        <v>27</v>
      </c>
      <c r="K101" s="157" t="s">
        <v>27</v>
      </c>
      <c r="L101" s="157" t="s">
        <v>27</v>
      </c>
      <c r="M101" s="158" t="s">
        <v>27</v>
      </c>
    </row>
    <row r="102" spans="1:13" s="154" customFormat="1" ht="12.75" customHeight="1">
      <c r="A102" s="155"/>
      <c r="B102" s="83"/>
      <c r="C102" s="41" t="s">
        <v>30</v>
      </c>
      <c r="D102" s="156">
        <v>38727</v>
      </c>
      <c r="E102" s="156" t="s">
        <v>72</v>
      </c>
      <c r="F102" s="157">
        <f>CEILING(255/'[1]Dollar Rate'!J26,1)</f>
        <v>86</v>
      </c>
      <c r="G102" s="157">
        <f>CEILING(270/'[1]Dollar Rate'!J26,1)</f>
        <v>91</v>
      </c>
      <c r="H102" s="157">
        <f>CEILING(70/'[1]Dollar Rate'!$J$26,1)</f>
        <v>24</v>
      </c>
      <c r="I102" s="157" t="s">
        <v>22</v>
      </c>
      <c r="J102" s="157" t="s">
        <v>27</v>
      </c>
      <c r="K102" s="157" t="s">
        <v>27</v>
      </c>
      <c r="L102" s="157" t="s">
        <v>27</v>
      </c>
      <c r="M102" s="158" t="s">
        <v>27</v>
      </c>
    </row>
    <row r="103" spans="1:13" s="154" customFormat="1" ht="10.5" customHeight="1">
      <c r="A103" s="155"/>
      <c r="B103" s="83"/>
      <c r="C103" s="41"/>
      <c r="D103" s="156">
        <v>39093</v>
      </c>
      <c r="E103" s="156" t="s">
        <v>73</v>
      </c>
      <c r="F103" s="157">
        <f>CEILING(290/'[1]Dollar Rate'!J26,1)</f>
        <v>97</v>
      </c>
      <c r="G103" s="157">
        <f>CEILING(305/'[1]Dollar Rate'!J26,1)</f>
        <v>103</v>
      </c>
      <c r="H103" s="157">
        <f>CEILING(70/'[1]Dollar Rate'!$J$26,1)</f>
        <v>24</v>
      </c>
      <c r="I103" s="157" t="s">
        <v>22</v>
      </c>
      <c r="J103" s="157" t="s">
        <v>27</v>
      </c>
      <c r="K103" s="157" t="s">
        <v>27</v>
      </c>
      <c r="L103" s="157" t="s">
        <v>27</v>
      </c>
      <c r="M103" s="158" t="s">
        <v>27</v>
      </c>
    </row>
    <row r="104" spans="1:13" s="154" customFormat="1" ht="12.75" customHeight="1">
      <c r="A104" s="155"/>
      <c r="B104" s="83"/>
      <c r="C104" s="41"/>
      <c r="D104" s="156" t="s">
        <v>74</v>
      </c>
      <c r="E104" s="156">
        <v>39327</v>
      </c>
      <c r="F104" s="157">
        <f>CEILING(340/'[1]Dollar Rate'!J26,1)</f>
        <v>114</v>
      </c>
      <c r="G104" s="157">
        <f>CEILING(355/'[1]Dollar Rate'!J26,1)</f>
        <v>119</v>
      </c>
      <c r="H104" s="157">
        <f>CEILING(70/'[1]Dollar Rate'!$J$26,1)</f>
        <v>24</v>
      </c>
      <c r="I104" s="157" t="s">
        <v>22</v>
      </c>
      <c r="J104" s="157" t="s">
        <v>27</v>
      </c>
      <c r="K104" s="157" t="s">
        <v>27</v>
      </c>
      <c r="L104" s="157" t="s">
        <v>27</v>
      </c>
      <c r="M104" s="158" t="s">
        <v>27</v>
      </c>
    </row>
    <row r="105" spans="1:13" s="154" customFormat="1" ht="15" customHeight="1">
      <c r="A105" s="155"/>
      <c r="B105" s="83"/>
      <c r="C105" s="41"/>
      <c r="D105" s="156">
        <v>39357</v>
      </c>
      <c r="E105" s="159" t="s">
        <v>75</v>
      </c>
      <c r="F105" s="157">
        <f>CEILING(290/'[1]Dollar Rate'!J26,1)</f>
        <v>97</v>
      </c>
      <c r="G105" s="157">
        <f>CEILING(305/'[1]Dollar Rate'!J26,1)</f>
        <v>103</v>
      </c>
      <c r="H105" s="157">
        <f>CEILING(70/'[1]Dollar Rate'!$J$26,1)</f>
        <v>24</v>
      </c>
      <c r="I105" s="157" t="s">
        <v>22</v>
      </c>
      <c r="J105" s="157" t="s">
        <v>27</v>
      </c>
      <c r="K105" s="157" t="s">
        <v>27</v>
      </c>
      <c r="L105" s="157" t="s">
        <v>27</v>
      </c>
      <c r="M105" s="158" t="s">
        <v>27</v>
      </c>
    </row>
    <row r="106" spans="1:13" ht="12.75" customHeight="1">
      <c r="A106" s="160"/>
      <c r="B106" s="86"/>
      <c r="C106" s="87" t="s">
        <v>76</v>
      </c>
      <c r="D106" s="87"/>
      <c r="E106" s="87"/>
      <c r="F106" s="87"/>
      <c r="G106" s="87"/>
      <c r="H106" s="87"/>
      <c r="I106" s="87"/>
      <c r="J106" s="87"/>
      <c r="K106" s="87"/>
      <c r="L106" s="87"/>
      <c r="M106" s="88"/>
    </row>
    <row r="107" spans="1:13" ht="12.75" customHeight="1">
      <c r="A107" s="154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</row>
    <row r="108" spans="1:13" ht="12.75">
      <c r="A108" s="154"/>
      <c r="B108" s="162" t="s">
        <v>77</v>
      </c>
      <c r="C108" s="162"/>
      <c r="D108" s="162"/>
      <c r="E108" s="162"/>
      <c r="F108" s="162"/>
      <c r="G108" s="162"/>
      <c r="H108" s="162"/>
      <c r="I108" s="154"/>
      <c r="J108" s="154"/>
      <c r="K108" s="154"/>
      <c r="L108" s="154"/>
      <c r="M108" s="154"/>
    </row>
    <row r="109" s="22" customFormat="1" ht="12.75">
      <c r="B109" s="162" t="s">
        <v>78</v>
      </c>
    </row>
    <row r="110" s="22" customFormat="1" ht="12.75">
      <c r="A110" s="8"/>
    </row>
    <row r="111" s="22" customFormat="1" ht="12.75">
      <c r="A111" s="8"/>
    </row>
  </sheetData>
  <mergeCells count="146">
    <mergeCell ref="C1:M1"/>
    <mergeCell ref="C22:C24"/>
    <mergeCell ref="C25:C27"/>
    <mergeCell ref="K16:K17"/>
    <mergeCell ref="M16:M17"/>
    <mergeCell ref="C16:C17"/>
    <mergeCell ref="C20:C21"/>
    <mergeCell ref="L16:L17"/>
    <mergeCell ref="C28:C31"/>
    <mergeCell ref="C32:C35"/>
    <mergeCell ref="C55:M55"/>
    <mergeCell ref="L79:L80"/>
    <mergeCell ref="M77:M78"/>
    <mergeCell ref="L77:L78"/>
    <mergeCell ref="K77:K78"/>
    <mergeCell ref="C36:C40"/>
    <mergeCell ref="G77:G78"/>
    <mergeCell ref="H77:H78"/>
    <mergeCell ref="M14:M15"/>
    <mergeCell ref="D16:D17"/>
    <mergeCell ref="E16:E17"/>
    <mergeCell ref="F16:F17"/>
    <mergeCell ref="G16:G17"/>
    <mergeCell ref="I14:I15"/>
    <mergeCell ref="J14:J15"/>
    <mergeCell ref="E14:E15"/>
    <mergeCell ref="F14:F15"/>
    <mergeCell ref="H16:H17"/>
    <mergeCell ref="I12:I13"/>
    <mergeCell ref="J12:J13"/>
    <mergeCell ref="M12:M13"/>
    <mergeCell ref="I10:I11"/>
    <mergeCell ref="J10:J11"/>
    <mergeCell ref="K10:K11"/>
    <mergeCell ref="L10:L11"/>
    <mergeCell ref="L12:L13"/>
    <mergeCell ref="M10:M11"/>
    <mergeCell ref="K12:K13"/>
    <mergeCell ref="B2:B4"/>
    <mergeCell ref="A6:B6"/>
    <mergeCell ref="A2:A4"/>
    <mergeCell ref="E10:E11"/>
    <mergeCell ref="A10:A17"/>
    <mergeCell ref="B10:B17"/>
    <mergeCell ref="C12:C13"/>
    <mergeCell ref="C14:C15"/>
    <mergeCell ref="C2:C4"/>
    <mergeCell ref="D14:D15"/>
    <mergeCell ref="G10:G11"/>
    <mergeCell ref="K2:M3"/>
    <mergeCell ref="D2:E3"/>
    <mergeCell ref="F2:H3"/>
    <mergeCell ref="I2:J3"/>
    <mergeCell ref="K75:K76"/>
    <mergeCell ref="H14:H15"/>
    <mergeCell ref="H10:H11"/>
    <mergeCell ref="D12:D13"/>
    <mergeCell ref="E12:E13"/>
    <mergeCell ref="F12:F13"/>
    <mergeCell ref="G12:G13"/>
    <mergeCell ref="H12:H13"/>
    <mergeCell ref="D10:D11"/>
    <mergeCell ref="F10:F11"/>
    <mergeCell ref="A51:A55"/>
    <mergeCell ref="A56:A59"/>
    <mergeCell ref="L75:L76"/>
    <mergeCell ref="G14:G15"/>
    <mergeCell ref="I75:I76"/>
    <mergeCell ref="K14:K15"/>
    <mergeCell ref="J16:J17"/>
    <mergeCell ref="G75:G76"/>
    <mergeCell ref="H75:H76"/>
    <mergeCell ref="J75:J76"/>
    <mergeCell ref="C41:C45"/>
    <mergeCell ref="C46:C50"/>
    <mergeCell ref="C70:M70"/>
    <mergeCell ref="C59:M59"/>
    <mergeCell ref="C65:M65"/>
    <mergeCell ref="A36:A50"/>
    <mergeCell ref="B36:B50"/>
    <mergeCell ref="A28:A35"/>
    <mergeCell ref="B28:B35"/>
    <mergeCell ref="F75:F76"/>
    <mergeCell ref="M75:M76"/>
    <mergeCell ref="C10:C11"/>
    <mergeCell ref="E79:E80"/>
    <mergeCell ref="I79:I80"/>
    <mergeCell ref="G79:G80"/>
    <mergeCell ref="F79:F80"/>
    <mergeCell ref="H79:H80"/>
    <mergeCell ref="L14:L15"/>
    <mergeCell ref="I16:I17"/>
    <mergeCell ref="M81:M82"/>
    <mergeCell ref="C75:C76"/>
    <mergeCell ref="D75:D76"/>
    <mergeCell ref="C77:C78"/>
    <mergeCell ref="C79:C80"/>
    <mergeCell ref="D81:D82"/>
    <mergeCell ref="I81:I82"/>
    <mergeCell ref="M79:M80"/>
    <mergeCell ref="I77:I78"/>
    <mergeCell ref="E75:E76"/>
    <mergeCell ref="B90:B93"/>
    <mergeCell ref="A90:A93"/>
    <mergeCell ref="E81:E82"/>
    <mergeCell ref="G81:G82"/>
    <mergeCell ref="C81:C82"/>
    <mergeCell ref="A84:A85"/>
    <mergeCell ref="A73:A83"/>
    <mergeCell ref="E77:E78"/>
    <mergeCell ref="C93:M93"/>
    <mergeCell ref="F77:F78"/>
    <mergeCell ref="A18:A21"/>
    <mergeCell ref="B18:B21"/>
    <mergeCell ref="C18:C19"/>
    <mergeCell ref="G66:M69"/>
    <mergeCell ref="A60:A70"/>
    <mergeCell ref="B60:B70"/>
    <mergeCell ref="B51:B55"/>
    <mergeCell ref="B56:B59"/>
    <mergeCell ref="A22:A27"/>
    <mergeCell ref="B22:B27"/>
    <mergeCell ref="C106:M106"/>
    <mergeCell ref="C94:C97"/>
    <mergeCell ref="C98:C101"/>
    <mergeCell ref="C102:C105"/>
    <mergeCell ref="J77:J78"/>
    <mergeCell ref="C92:M92"/>
    <mergeCell ref="D77:D78"/>
    <mergeCell ref="D79:D80"/>
    <mergeCell ref="K81:K82"/>
    <mergeCell ref="H81:H82"/>
    <mergeCell ref="J79:J80"/>
    <mergeCell ref="J81:J82"/>
    <mergeCell ref="K79:K80"/>
    <mergeCell ref="L81:L82"/>
    <mergeCell ref="A94:A106"/>
    <mergeCell ref="A88:A89"/>
    <mergeCell ref="B94:B106"/>
    <mergeCell ref="C83:M83"/>
    <mergeCell ref="C85:M85"/>
    <mergeCell ref="C89:M89"/>
    <mergeCell ref="B88:B89"/>
    <mergeCell ref="B84:B85"/>
    <mergeCell ref="B73:B83"/>
    <mergeCell ref="F81:F82"/>
  </mergeCells>
  <printOptions/>
  <pageMargins left="0.5" right="0.5" top="0.5" bottom="0.5" header="0.25" footer="0.2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dcterms:created xsi:type="dcterms:W3CDTF">2006-10-24T07:00:30Z</dcterms:created>
  <dcterms:modified xsi:type="dcterms:W3CDTF">2006-10-24T07:06:32Z</dcterms:modified>
  <cp:category/>
  <cp:version/>
  <cp:contentType/>
  <cp:contentStatus/>
</cp:coreProperties>
</file>